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comments5.xml" ContentType="application/vnd.openxmlformats-officedocument.spreadsheetml.comment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comments9.xml" ContentType="application/vnd.openxmlformats-officedocument.spreadsheetml.comments+xml"/>
  <Override PartName="/xl/drawings/drawing18.xml" ContentType="application/vnd.openxmlformats-officedocument.drawing+xml"/>
  <Override PartName="/xl/comments10.xml" ContentType="application/vnd.openxmlformats-officedocument.spreadsheetml.comments+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comments12.xml" ContentType="application/vnd.openxmlformats-officedocument.spreadsheetml.comments+xml"/>
  <Override PartName="/xl/drawings/drawing21.xml" ContentType="application/vnd.openxmlformats-officedocument.drawing+xml"/>
  <Override PartName="/xl/comments13.xml" ContentType="application/vnd.openxmlformats-officedocument.spreadsheetml.comments+xml"/>
  <Override PartName="/xl/drawings/drawing22.xml" ContentType="application/vnd.openxmlformats-officedocument.drawing+xml"/>
  <Override PartName="/xl/comments14.xml" ContentType="application/vnd.openxmlformats-officedocument.spreadsheetml.comments+xml"/>
  <Override PartName="/xl/drawings/drawing23.xml" ContentType="application/vnd.openxmlformats-officedocument.drawing+xml"/>
  <Override PartName="/xl/comments15.xml" ContentType="application/vnd.openxmlformats-officedocument.spreadsheetml.comments+xml"/>
  <Override PartName="/xl/drawings/drawing24.xml" ContentType="application/vnd.openxmlformats-officedocument.drawing+xml"/>
  <Override PartName="/xl/comments16.xml" ContentType="application/vnd.openxmlformats-officedocument.spreadsheetml.comments+xml"/>
  <Override PartName="/xl/drawings/drawing25.xml" ContentType="application/vnd.openxmlformats-officedocument.drawing+xml"/>
  <Override PartName="/xl/comments17.xml" ContentType="application/vnd.openxmlformats-officedocument.spreadsheetml.comments+xml"/>
  <Override PartName="/xl/drawings/drawing26.xml" ContentType="application/vnd.openxmlformats-officedocument.drawing+xml"/>
  <Override PartName="/xl/comments18.xml" ContentType="application/vnd.openxmlformats-officedocument.spreadsheetml.comments+xml"/>
  <Override PartName="/xl/drawings/drawing27.xml" ContentType="application/vnd.openxmlformats-officedocument.drawing+xml"/>
  <Override PartName="/xl/comments19.xml" ContentType="application/vnd.openxmlformats-officedocument.spreadsheetml.comments+xml"/>
  <Override PartName="/xl/drawings/drawing28.xml" ContentType="application/vnd.openxmlformats-officedocument.drawing+xml"/>
  <Override PartName="/xl/comments20.xml" ContentType="application/vnd.openxmlformats-officedocument.spreadsheetml.comments+xml"/>
  <Override PartName="/xl/drawings/drawing29.xml" ContentType="application/vnd.openxmlformats-officedocument.drawing+xml"/>
  <Override PartName="/xl/comments21.xml" ContentType="application/vnd.openxmlformats-officedocument.spreadsheetml.comments+xml"/>
  <Override PartName="/xl/drawings/drawing30.xml" ContentType="application/vnd.openxmlformats-officedocument.drawing+xml"/>
  <Override PartName="/xl/comments22.xml" ContentType="application/vnd.openxmlformats-officedocument.spreadsheetml.comments+xml"/>
  <Override PartName="/xl/drawings/drawing31.xml" ContentType="application/vnd.openxmlformats-officedocument.drawing+xml"/>
  <Override PartName="/xl/comments23.xml" ContentType="application/vnd.openxmlformats-officedocument.spreadsheetml.comments+xml"/>
  <Override PartName="/xl/drawings/drawing32.xml" ContentType="application/vnd.openxmlformats-officedocument.drawing+xml"/>
  <Override PartName="/xl/comments24.xml" ContentType="application/vnd.openxmlformats-officedocument.spreadsheetml.comments+xml"/>
  <Override PartName="/xl/drawings/drawing33.xml" ContentType="application/vnd.openxmlformats-officedocument.drawing+xml"/>
  <Override PartName="/xl/comments25.xml" ContentType="application/vnd.openxmlformats-officedocument.spreadsheetml.comments+xml"/>
  <Override PartName="/xl/drawings/drawing34.xml" ContentType="application/vnd.openxmlformats-officedocument.drawing+xml"/>
  <Override PartName="/xl/comments26.xml" ContentType="application/vnd.openxmlformats-officedocument.spreadsheetml.comments+xml"/>
  <Override PartName="/xl/drawings/drawing35.xml" ContentType="application/vnd.openxmlformats-officedocument.drawing+xml"/>
  <Override PartName="/xl/comments27.xml" ContentType="application/vnd.openxmlformats-officedocument.spreadsheetml.comments+xml"/>
  <Override PartName="/xl/drawings/drawing36.xml" ContentType="application/vnd.openxmlformats-officedocument.drawing+xml"/>
  <Override PartName="/xl/comments28.xml" ContentType="application/vnd.openxmlformats-officedocument.spreadsheetml.comments+xml"/>
  <Override PartName="/xl/drawings/drawing37.xml" ContentType="application/vnd.openxmlformats-officedocument.drawing+xml"/>
  <Override PartName="/xl/comments29.xml" ContentType="application/vnd.openxmlformats-officedocument.spreadsheetml.comments+xml"/>
  <Override PartName="/xl/drawings/drawing38.xml" ContentType="application/vnd.openxmlformats-officedocument.drawing+xml"/>
  <Override PartName="/xl/comments30.xml" ContentType="application/vnd.openxmlformats-officedocument.spreadsheetml.comments+xml"/>
  <Override PartName="/xl/drawings/drawing39.xml" ContentType="application/vnd.openxmlformats-officedocument.drawing+xml"/>
  <Override PartName="/xl/comments31.xml" ContentType="application/vnd.openxmlformats-officedocument.spreadsheetml.comments+xml"/>
  <Override PartName="/xl/drawings/drawing40.xml" ContentType="application/vnd.openxmlformats-officedocument.drawing+xml"/>
  <Override PartName="/xl/comments32.xml" ContentType="application/vnd.openxmlformats-officedocument.spreadsheetml.comments+xml"/>
  <Override PartName="/xl/drawings/drawing41.xml" ContentType="application/vnd.openxmlformats-officedocument.drawing+xml"/>
  <Override PartName="/xl/comments33.xml" ContentType="application/vnd.openxmlformats-officedocument.spreadsheetml.comments+xml"/>
  <Override PartName="/xl/drawings/drawing42.xml" ContentType="application/vnd.openxmlformats-officedocument.drawing+xml"/>
  <Override PartName="/xl/comments34.xml" ContentType="application/vnd.openxmlformats-officedocument.spreadsheetml.comments+xml"/>
  <Override PartName="/xl/drawings/drawing43.xml" ContentType="application/vnd.openxmlformats-officedocument.drawing+xml"/>
  <Override PartName="/xl/comments35.xml" ContentType="application/vnd.openxmlformats-officedocument.spreadsheetml.comments+xml"/>
  <Override PartName="/xl/drawings/drawing44.xml" ContentType="application/vnd.openxmlformats-officedocument.drawing+xml"/>
  <Override PartName="/xl/comments36.xml" ContentType="application/vnd.openxmlformats-officedocument.spreadsheetml.comments+xml"/>
  <Override PartName="/xl/drawings/drawing45.xml" ContentType="application/vnd.openxmlformats-officedocument.drawing+xml"/>
  <Override PartName="/xl/comments37.xml" ContentType="application/vnd.openxmlformats-officedocument.spreadsheetml.comments+xml"/>
  <Override PartName="/xl/drawings/drawing46.xml" ContentType="application/vnd.openxmlformats-officedocument.drawing+xml"/>
  <Override PartName="/xl/comments38.xml" ContentType="application/vnd.openxmlformats-officedocument.spreadsheetml.comments+xml"/>
  <Override PartName="/xl/drawings/drawing47.xml" ContentType="application/vnd.openxmlformats-officedocument.drawing+xml"/>
  <Override PartName="/xl/comments39.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https://theermgroup.sharepoint.com/sites/E4Tech-DocumentCo-AuthoringCentre/E4tech Consulting/Projects/Current/BEIS-UK-HTA-HECassessors/WP25 - V2 V3 Guidance, HECs/WIP/HEC/"/>
    </mc:Choice>
  </mc:AlternateContent>
  <xr:revisionPtr revIDLastSave="6498" documentId="8_{44E7BF51-66BB-4D46-82D6-D18CA10B05E6}" xr6:coauthVersionLast="47" xr6:coauthVersionMax="47" xr10:uidLastSave="{C8ADAD58-1D4B-4062-BDD7-7C0D6B42C34A}"/>
  <bookViews>
    <workbookView xWindow="-60" yWindow="-16320" windowWidth="29040" windowHeight="15840" tabRatio="875" xr2:uid="{A6ADB12D-7303-4915-BB9D-0152DA4C8FA8}"/>
  </bookViews>
  <sheets>
    <sheet name="Title" sheetId="131" r:id="rId1"/>
    <sheet name="Navigation" sheetId="119" r:id="rId2"/>
    <sheet name="Guidance Initial_questions" sheetId="14" r:id="rId3"/>
    <sheet name="Guidance Processing" sheetId="127" r:id="rId4"/>
    <sheet name="Guidance Feedstock dLUC" sheetId="126" r:id="rId5"/>
    <sheet name="Guidance Summary GHG" sheetId="125" r:id="rId6"/>
    <sheet name="Initial_questions" sheetId="37" r:id="rId7"/>
    <sheet name="System_Boundary" sheetId="8" r:id="rId8"/>
    <sheet name="Dashboard" sheetId="128" r:id="rId9"/>
    <sheet name="Units" sheetId="7" r:id="rId10"/>
    <sheet name="Default data" sheetId="71" r:id="rId11"/>
    <sheet name="Typical data" sheetId="150" r:id="rId12"/>
    <sheet name="Non Typical data" sheetId="25" r:id="rId13"/>
    <sheet name="GHG_ELECTROLYSIS" sheetId="66" r:id="rId14"/>
    <sheet name="GHG_NG_REFORM_CCS" sheetId="69" r:id="rId15"/>
    <sheet name="GHG_ROG_REFORM_CCS" sheetId="141" r:id="rId16"/>
    <sheet name="GHG_NG_SPLITTING" sheetId="133" r:id="rId17"/>
    <sheet name="GHG_BIOMETHANE_REFORM" sheetId="70" r:id="rId18"/>
    <sheet name="GHG_BIOMASS_GASIFICATION" sheetId="39" r:id="rId19"/>
    <sheet name="GHG_WASTE_GASIFICATION" sheetId="68" r:id="rId20"/>
    <sheet name="GHG_GENERIC_OTHER" sheetId="115" r:id="rId21"/>
    <sheet name="Electrolysis" sheetId="107" r:id="rId22"/>
    <sheet name="NG_Collection" sheetId="15" r:id="rId23"/>
    <sheet name="NG_Transport" sheetId="89" r:id="rId24"/>
    <sheet name="NG_Processing" sheetId="90" r:id="rId25"/>
    <sheet name="NG_Further_Transport" sheetId="91" r:id="rId26"/>
    <sheet name="NG_Reforming_CCS" sheetId="4" r:id="rId27"/>
    <sheet name="NG_Splitting_SolidCarbon" sheetId="132" r:id="rId28"/>
    <sheet name="ROG_Counterfactual" sheetId="148" r:id="rId29"/>
    <sheet name="Crude_Collection" sheetId="151" r:id="rId30"/>
    <sheet name="Crude_Transport" sheetId="152" r:id="rId31"/>
    <sheet name="Crude_Refine" sheetId="153" r:id="rId32"/>
    <sheet name="ROG_Processing" sheetId="144" r:id="rId33"/>
    <sheet name="ROG_Transport" sheetId="143" r:id="rId34"/>
    <sheet name="ROG_Reforming_CCS" sheetId="145" r:id="rId35"/>
    <sheet name="Biogas_Feedstock_Cultivation" sheetId="117" r:id="rId36"/>
    <sheet name="Biogas_Feedstock_Harvesting" sheetId="121" r:id="rId37"/>
    <sheet name="Biogas_Feedstock_Collection" sheetId="92" r:id="rId38"/>
    <sheet name="Biogas_Feedstock_Transport" sheetId="93" r:id="rId39"/>
    <sheet name="Biogas+Biomethane_Upgrading" sheetId="94" r:id="rId40"/>
    <sheet name="Biomethane_Transport" sheetId="95" r:id="rId41"/>
    <sheet name="Biomethane_Reforming_CCS" sheetId="85" r:id="rId42"/>
    <sheet name="Biomass_Cultivation" sheetId="118" r:id="rId43"/>
    <sheet name="Biomass_Harvesting" sheetId="122" r:id="rId44"/>
    <sheet name="Biomass_Collection" sheetId="96" r:id="rId45"/>
    <sheet name="Biomass_Transport" sheetId="97" r:id="rId46"/>
    <sheet name="Biomass_Pre-Processing" sheetId="99" r:id="rId47"/>
    <sheet name="Biomass_Further_Transport" sheetId="100" r:id="rId48"/>
    <sheet name="Biomass_Gasification_CCS" sheetId="86" r:id="rId49"/>
    <sheet name="Waste_Fossil_Counterfactual" sheetId="140" r:id="rId50"/>
    <sheet name="Waste_Collection" sheetId="101" r:id="rId51"/>
    <sheet name="Waste_Transport" sheetId="102" r:id="rId52"/>
    <sheet name="Waste_Pre-Processing" sheetId="103" r:id="rId53"/>
    <sheet name="Waste_Further_Transport" sheetId="104" r:id="rId54"/>
    <sheet name="Waste_Gasification_CCS" sheetId="87" r:id="rId55"/>
    <sheet name="Generic_Fossil_Counterfactual" sheetId="149" r:id="rId56"/>
    <sheet name="Generic_Feedstock_Cultivation" sheetId="120" r:id="rId57"/>
    <sheet name="Generic_Feedstock_Harvesting" sheetId="123" r:id="rId58"/>
    <sheet name="Generic_Feedstock_Collection" sheetId="110" r:id="rId59"/>
    <sheet name="Generic_Feedstock_Transport" sheetId="111" r:id="rId60"/>
    <sheet name="Generic_Pre-Processing" sheetId="112" r:id="rId61"/>
    <sheet name="Generic_Further_Transport" sheetId="116" r:id="rId62"/>
    <sheet name="Generic_Conversion" sheetId="114" r:id="rId63"/>
  </sheets>
  <definedNames>
    <definedName name="__1234Graph_A" localSheetId="49" hidden="1">#REF!</definedName>
    <definedName name="__1234Graph_A" hidden="1">#REF!</definedName>
    <definedName name="__123Graph_A" localSheetId="49" hidden="1">#REF!</definedName>
    <definedName name="__123Graph_A" hidden="1">#REF!</definedName>
    <definedName name="__123Graph_B" localSheetId="49" hidden="1">#REF!</definedName>
    <definedName name="__123Graph_B" hidden="1">#REF!</definedName>
    <definedName name="__123Graph_C" localSheetId="49" hidden="1">#REF!</definedName>
    <definedName name="__123Graph_C" hidden="1">#REF!</definedName>
    <definedName name="__123Graph_D" localSheetId="49" hidden="1">#REF!</definedName>
    <definedName name="__123Graph_D" hidden="1">#REF!</definedName>
    <definedName name="__123Graph_E" localSheetId="49" hidden="1">#REF!</definedName>
    <definedName name="__123Graph_E" hidden="1">#REF!</definedName>
    <definedName name="__123Graph_F" localSheetId="49" hidden="1">#REF!</definedName>
    <definedName name="__123Graph_F" hidden="1">#REF!</definedName>
    <definedName name="__123Graph_X" localSheetId="49" hidden="1">#REF!</definedName>
    <definedName name="__123Graph_X" hidden="1">#REF!</definedName>
    <definedName name="_1234Graph_A_v2" hidden="1">#REF!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Order1" hidden="1">255</definedName>
    <definedName name="_Order2" hidden="1">255</definedName>
    <definedName name="_Table1_In1" hidden="1">#REF!</definedName>
    <definedName name="_Table1_Out" localSheetId="49" hidden="1">#REF!</definedName>
    <definedName name="_Table1_Out" hidden="1">#REF!</definedName>
    <definedName name="aadsds" localSheetId="3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3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3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5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5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5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5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6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6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5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5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5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5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llData">Units!$B$149:$B$152</definedName>
    <definedName name="anscount" hidden="1">1</definedName>
    <definedName name="bbl_to_USgal">Units!$C$25</definedName>
    <definedName name="Bio">Units!$O$120:$O$126</definedName>
    <definedName name="Biomethane">Units!$Q$120:$Q$126</definedName>
    <definedName name="Capture">Units!$I$120:$I$125</definedName>
    <definedName name="Case">Units!$W$120:$W$123</definedName>
    <definedName name="CBWorkbookPriority" hidden="1">-1631513760</definedName>
    <definedName name="Conversion_kWh_to_MJ">Units!$C$8</definedName>
    <definedName name="Credit">Units!$K$120:$K$123</definedName>
    <definedName name="Data">Units!$F$120:$F$123</definedName>
    <definedName name="Def">Units!$R$121</definedName>
    <definedName name="Elec">Units!$P$120:$P$126</definedName>
    <definedName name="EnergySupplyData">Units!$D$149:$D$151</definedName>
    <definedName name="Feedstock">Units!$L$120:$L$132</definedName>
    <definedName name="FeedstockSupplyData">Units!$C$149:$C$151</definedName>
    <definedName name="Flow_units">Units!$Z$120:$Z$121</definedName>
    <definedName name="Fossil">Units!$G$120:$G$125</definedName>
    <definedName name="Gas">Units!$H$120:$H$125</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Count" hidden="1">1</definedName>
    <definedName name="Hydrogen_flow">Initial_questions!$E$81</definedName>
    <definedName name="iLUC">Units!$T$120:$T$126</definedName>
    <definedName name="InputMaterialsData">Units!$E$149:$E$151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PAYOUT_RATIO" hidden="1">"c3492"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39343.6573842593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LOCAL_MYSQL_DATE_FORMAT" localSheetId="3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tion">Units!$E$120:$E$122</definedName>
    <definedName name="Master_Switch">Units!$B$144</definedName>
    <definedName name="mb_inputLocation" localSheetId="49" hidden="1">#REF!</definedName>
    <definedName name="mb_inputLocation" hidden="1">#REF!</definedName>
    <definedName name="Offset">Units!$M$120:$M$123</definedName>
    <definedName name="Operations_year">Initial_questions!$E$24</definedName>
    <definedName name="Output_pressure">Initial_questions!$E$84</definedName>
    <definedName name="Output_purity">Initial_questions!$E$85</definedName>
    <definedName name="Output_temperature">Initial_questions!$E$86</definedName>
    <definedName name="Path">Initial_questions!$E$21</definedName>
    <definedName name="Pathway_list">Units!$B$120:$B$139</definedName>
    <definedName name="Proj">Units!$R$120</definedName>
    <definedName name="Proj_grid_intensity_kWh">'Typical data'!$C$130:$C$157</definedName>
    <definedName name="Proj_grid_year">'Typical data'!$B$130:$B$157</definedName>
    <definedName name="Proj_or_def">Units!$R$120:$R$122</definedName>
    <definedName name="Proj_or_mix">Units!$S$120:$S$122</definedName>
    <definedName name="Risk">Units!$X$120:$X$122</definedName>
    <definedName name="RiskAfterRecalcMacro" hidden="1">"BetweenIterationsMacro"</definedName>
    <definedName name="RiskAfterSimMacro" hidden="1">""</definedName>
    <definedName name="RiskBeforeRecalcMacro" hidden="1">""</definedName>
    <definedName name="RiskBeforeSimMacro" hidden="1">""</definedName>
    <definedName name="RiskCollectDistributionSamples" hidden="1">1</definedName>
    <definedName name="RiskFixedSeed" hidden="1">2009000</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definedName>
    <definedName name="RiskNumSimulations" hidden="1">1</definedName>
    <definedName name="RiskPauseOnError" hidden="1">FALSE</definedName>
    <definedName name="RiskRunAfterRecalcMacro" hidden="1">TRUE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FALSE</definedName>
    <definedName name="SolidCarbon">Units!$J$120:$J$124</definedName>
    <definedName name="Status">Units!$D$120:$D$122</definedName>
    <definedName name="Sustainability">Units!$N$120:$N$122</definedName>
    <definedName name="Switch">Units!$V$120:$V$121</definedName>
    <definedName name="UNI_AA_VERSION" hidden="1">"150.2.0"</definedName>
    <definedName name="UNI_FILT_END" hidden="1">8</definedName>
    <definedName name="UNI_FILT_OFFSPEC" hidden="1">2</definedName>
    <definedName name="UNI_FILT_ONSPEC" hidden="1">1</definedName>
    <definedName name="UNI_FILT_START" hidden="1">4</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POST" hidden="1">256</definedName>
    <definedName name="UNI_PRES_PRIOR" hidden="1">2048</definedName>
    <definedName name="UNI_PRES_RECENT" hidden="1">1024</definedName>
    <definedName name="UNI_PRES_STATIC" hidden="1">128</definedName>
    <definedName name="UNI_RET_ATTRIB" hidden="1">64</definedName>
    <definedName name="UNI_RET_CONF" hidden="1">32</definedName>
    <definedName name="UNI_RET_DESC" hidden="1">4</definedName>
    <definedName name="UNI_RET_END" hidden="1">16384</definedName>
    <definedName name="UNI_RET_EQUIP" hidden="1">32768</definedName>
    <definedName name="UNI_RET_EVENT" hidden="1">4096</definedName>
    <definedName name="UNI_RET_OFFSPEC" hidden="1">512</definedName>
    <definedName name="UNI_RET_ONSPEC" hidden="1">256</definedName>
    <definedName name="UNI_RET_PROP" hidden="1">131072</definedName>
    <definedName name="UNI_RET_PROPDESC" hidden="1">262144</definedName>
    <definedName name="UNI_RET_SMPLPNT" hidden="1">65536</definedName>
    <definedName name="UNI_RET_SPECMAX" hidden="1">2048</definedName>
    <definedName name="UNI_RET_SPECMIN" hidden="1">1024</definedName>
    <definedName name="UNI_RET_START" hidden="1">8192</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Within_workbook">Units!$Y$120:$Y$123</definedName>
    <definedName name="wrn.My._.estimate._.report." localSheetId="9" hidden="1">{"Equipment",#N/A,FALSE,"A";"Summary",#N/A,FALSE,"B"}</definedName>
    <definedName name="wrn.My._.estimate._.report." localSheetId="49" hidden="1">{"Equipment",#N/A,FALSE,"A";"Summary",#N/A,FALSE,"B"}</definedName>
    <definedName name="wrn.My._.estimate._.report." hidden="1">{"Equipment",#N/A,FALSE,"A";"Summary",#N/A,FALSE,"B"}</definedName>
    <definedName name="x"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x"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Years">Units!$U$120:$U$147</definedName>
  </definedNames>
  <calcPr calcId="191028"/>
  <customWorkbookViews>
    <customWorkbookView name="All" guid="{2D920366-22B2-4182-A65D-0EDBE614FB37}" maximized="1" xWindow="1912" yWindow="-8" windowWidth="1936" windowHeight="1056" tabRatio="875" activeSheetId="37"/>
    <customWorkbookView name="Waste gasification" guid="{F468A2FD-7987-4A9D-8BAE-1AACE523607F}" maximized="1" xWindow="-4" yWindow="-1088" windowWidth="1936" windowHeight="1056" tabRatio="875" activeSheetId="140"/>
    <customWorkbookView name="Refinery off gas reforming with CCS" guid="{D97B1299-69D0-4EE0-B673-CCF74742F96B}" maximized="1" xWindow="-4" yWindow="-1088" windowWidth="1936" windowHeight="1056" activeSheetId="151"/>
    <customWorkbookView name="Natural gas splitting producing solid carbon" guid="{3F0A4FBA-5323-448F-A023-B3E14C54064C}" maximized="1" xWindow="-4" yWindow="-1088" windowWidth="1936" windowHeight="1056" tabRatio="875" activeSheetId="132"/>
    <customWorkbookView name="Biomass gasification" guid="{E6EFD927-84B2-4D06-BB59-59D9DF522DA2}" maximized="1" xWindow="-4" yWindow="-1088" windowWidth="1936" windowHeight="1056" tabRatio="875" activeSheetId="118"/>
    <customWorkbookView name="Electrolysis" guid="{0E935136-9A80-44B6-88D5-61E64D742049}" maximized="1" xWindow="-4" yWindow="-1088" windowWidth="1936" windowHeight="1056" tabRatio="875" activeSheetId="107"/>
    <customWorkbookView name="Biomethane reforming" guid="{1C16EB38-F785-4168-9938-104594734038}" maximized="1" xWindow="-4" yWindow="-1088" windowWidth="1936" windowHeight="1056" tabRatio="875" activeSheetId="85"/>
    <customWorkbookView name="Natural gas reforming with CCS" guid="{EECBF9DF-6D77-4263-85DA-71E40216BADD}" maximized="1" xWindow="-4" yWindow="-1088" windowWidth="1936" windowHeight="1056" tabRatio="875" activeSheetId="4"/>
    <customWorkbookView name="Other" guid="{F03309BC-D3FA-4CF2-833B-D6D9A95FE1FB}" maximized="1" xWindow="-4" yWindow="-1088" windowWidth="1936" windowHeight="1056" tabRatio="875" activeSheetId="12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3" i="128" l="1" a="1"/>
  <c r="D23" i="128" s="1"/>
  <c r="E23" i="128" s="1" a="1"/>
  <c r="E23" i="128" s="1"/>
  <c r="D24" i="128" a="1"/>
  <c r="D24" i="128" s="1"/>
  <c r="E24" i="128" s="1" a="1"/>
  <c r="E24" i="128" s="1"/>
  <c r="E27" i="128"/>
  <c r="E26" i="128"/>
  <c r="E25" i="128"/>
  <c r="C27" i="128"/>
  <c r="C26" i="128"/>
  <c r="B27" i="128"/>
  <c r="B26" i="128"/>
  <c r="D4" i="128" a="1"/>
  <c r="D4" i="128" s="1"/>
  <c r="C149" i="7" a="1"/>
  <c r="C149" i="7" s="1"/>
  <c r="E149" i="7" a="1"/>
  <c r="E149" i="7" s="1"/>
  <c r="B149" i="7" a="1"/>
  <c r="B149" i="7" s="1"/>
  <c r="L5" i="70" l="1" a="1"/>
  <c r="L5" i="70" s="1"/>
  <c r="D5" i="70" a="1"/>
  <c r="D5" i="70" s="1"/>
  <c r="D130" i="37" a="1"/>
  <c r="D130" i="37" s="1"/>
  <c r="B2" i="123"/>
  <c r="B2" i="121"/>
  <c r="B2" i="122"/>
  <c r="B2" i="120"/>
  <c r="B2" i="117"/>
  <c r="B2" i="118"/>
  <c r="D131" i="37" a="1"/>
  <c r="D131" i="37" l="1"/>
  <c r="D129" i="71"/>
  <c r="E131" i="37" a="1"/>
  <c r="E131" i="37" l="1"/>
  <c r="D132" i="37" a="1"/>
  <c r="D132" i="37" s="1"/>
  <c r="D124" i="37" a="1"/>
  <c r="D124" i="37" s="1"/>
  <c r="D347" i="150"/>
  <c r="D324" i="150"/>
  <c r="D322" i="150"/>
  <c r="D40" i="66"/>
  <c r="D23" i="66"/>
  <c r="D6" i="66"/>
  <c r="D7" i="69"/>
  <c r="D9" i="141"/>
  <c r="D7" i="133"/>
  <c r="D9" i="70"/>
  <c r="D9" i="39"/>
  <c r="D31" i="68"/>
  <c r="D9" i="68"/>
  <c r="C115" i="37"/>
  <c r="C113" i="37" l="1" a="1"/>
  <c r="C113" i="37" s="1"/>
  <c r="F337" i="150" l="1"/>
  <c r="D323" i="150"/>
  <c r="E89" i="37"/>
  <c r="C9" i="149"/>
  <c r="C9" i="140"/>
  <c r="B215" i="150"/>
  <c r="B216" i="150"/>
  <c r="B217" i="150"/>
  <c r="B218" i="150"/>
  <c r="B219" i="150"/>
  <c r="B220" i="150"/>
  <c r="B221" i="150"/>
  <c r="B222" i="150"/>
  <c r="B223" i="150"/>
  <c r="B224" i="150"/>
  <c r="B225" i="150"/>
  <c r="B226" i="150"/>
  <c r="B227" i="150"/>
  <c r="B228" i="150"/>
  <c r="B229" i="150"/>
  <c r="B230" i="150"/>
  <c r="B231" i="150"/>
  <c r="B232" i="150"/>
  <c r="B233" i="150"/>
  <c r="B234" i="150"/>
  <c r="B235" i="150"/>
  <c r="B236" i="150"/>
  <c r="B237" i="150"/>
  <c r="B238" i="150"/>
  <c r="B239" i="150"/>
  <c r="B240" i="150"/>
  <c r="B241" i="150"/>
  <c r="B214" i="150"/>
  <c r="B130" i="150"/>
  <c r="D40" i="71" s="1"/>
  <c r="B131" i="150"/>
  <c r="B132" i="150"/>
  <c r="B133" i="150"/>
  <c r="B134" i="150"/>
  <c r="B135" i="150"/>
  <c r="B136" i="150"/>
  <c r="B137" i="150"/>
  <c r="B138" i="150"/>
  <c r="B139" i="150"/>
  <c r="B140" i="150"/>
  <c r="B141" i="150"/>
  <c r="B142" i="150"/>
  <c r="B143" i="150"/>
  <c r="B144" i="150"/>
  <c r="B145" i="150"/>
  <c r="B146" i="150"/>
  <c r="B147" i="150"/>
  <c r="B148" i="150"/>
  <c r="B149" i="150"/>
  <c r="B150" i="150"/>
  <c r="B151" i="150"/>
  <c r="B152" i="150"/>
  <c r="B153" i="150"/>
  <c r="B154" i="150"/>
  <c r="B155" i="150"/>
  <c r="B156" i="150"/>
  <c r="B157" i="150"/>
  <c r="C9" i="148"/>
  <c r="T21" i="107"/>
  <c r="C14" i="128"/>
  <c r="D105" i="37"/>
  <c r="D96" i="37" a="1"/>
  <c r="D96" i="37" s="1"/>
  <c r="D330" i="150" l="1"/>
  <c r="D348" i="150" s="1"/>
  <c r="D349" i="150" s="1"/>
  <c r="F336" i="150"/>
  <c r="D325" i="150" s="1"/>
  <c r="D327" i="150" s="1"/>
  <c r="D329" i="150" s="1"/>
  <c r="F341" i="150"/>
  <c r="F339" i="150"/>
  <c r="F338" i="150"/>
  <c r="F340" i="150"/>
  <c r="T9" i="144"/>
  <c r="T9" i="143"/>
  <c r="T9" i="89"/>
  <c r="T64" i="132"/>
  <c r="T54" i="145"/>
  <c r="T12" i="94"/>
  <c r="T9" i="99"/>
  <c r="T9" i="104"/>
  <c r="T10" i="112"/>
  <c r="T61" i="132"/>
  <c r="T9" i="90"/>
  <c r="T65" i="132"/>
  <c r="T57" i="145"/>
  <c r="T9" i="95"/>
  <c r="T9" i="100"/>
  <c r="T66" i="87"/>
  <c r="T9" i="116"/>
  <c r="T9" i="103"/>
  <c r="T8" i="15"/>
  <c r="T9" i="97"/>
  <c r="T9" i="91"/>
  <c r="T66" i="132"/>
  <c r="T9" i="117"/>
  <c r="T54" i="85"/>
  <c r="T54" i="86"/>
  <c r="T69" i="87"/>
  <c r="T51" i="114"/>
  <c r="T10" i="94"/>
  <c r="T54" i="4"/>
  <c r="T8" i="151"/>
  <c r="T9" i="121"/>
  <c r="T57" i="85"/>
  <c r="T57" i="86"/>
  <c r="T8" i="120"/>
  <c r="T54" i="114"/>
  <c r="T56" i="132"/>
  <c r="T9" i="111"/>
  <c r="T10" i="103"/>
  <c r="T29" i="107"/>
  <c r="T57" i="4"/>
  <c r="T9" i="152"/>
  <c r="T9" i="92"/>
  <c r="T9" i="118"/>
  <c r="T8" i="101"/>
  <c r="T9" i="123"/>
  <c r="T59" i="114"/>
  <c r="T79" i="107"/>
  <c r="T9" i="96"/>
  <c r="T11" i="94"/>
  <c r="T9" i="112"/>
  <c r="T76" i="107"/>
  <c r="T53" i="132"/>
  <c r="T9" i="153"/>
  <c r="T9" i="93"/>
  <c r="T9" i="122"/>
  <c r="T9" i="102"/>
  <c r="T9" i="110"/>
  <c r="D331" i="150" l="1"/>
  <c r="C10" i="128"/>
  <c r="E80" i="145" l="1"/>
  <c r="A1" i="153"/>
  <c r="A1" i="152"/>
  <c r="A1" i="151"/>
  <c r="A1" i="148"/>
  <c r="E3" i="69" l="1"/>
  <c r="I3" i="141"/>
  <c r="J3" i="141" s="1"/>
  <c r="G3" i="141"/>
  <c r="H3" i="141" s="1"/>
  <c r="F3" i="141"/>
  <c r="E3" i="141"/>
  <c r="D3" i="141"/>
  <c r="C3" i="141"/>
  <c r="B3" i="141"/>
  <c r="K3" i="141" l="1"/>
  <c r="N65" i="114"/>
  <c r="N61" i="114"/>
  <c r="N62" i="114"/>
  <c r="N63" i="114"/>
  <c r="N64" i="114"/>
  <c r="T62" i="114"/>
  <c r="S62" i="114"/>
  <c r="T63" i="114"/>
  <c r="S63" i="114"/>
  <c r="S64" i="132"/>
  <c r="N64" i="132"/>
  <c r="S65" i="132"/>
  <c r="N65" i="132"/>
  <c r="E94" i="114"/>
  <c r="E93" i="114"/>
  <c r="E96" i="132"/>
  <c r="E97" i="132"/>
  <c r="T61" i="114"/>
  <c r="T64" i="114"/>
  <c r="S64" i="114"/>
  <c r="S61" i="114"/>
  <c r="S60" i="114"/>
  <c r="T65" i="114"/>
  <c r="S65" i="114"/>
  <c r="T60" i="114"/>
  <c r="N60" i="114"/>
  <c r="S59" i="114"/>
  <c r="N59" i="114"/>
  <c r="S58" i="114"/>
  <c r="N58" i="114"/>
  <c r="S56" i="132"/>
  <c r="N56" i="132"/>
  <c r="S57" i="132"/>
  <c r="N57" i="132"/>
  <c r="T55" i="132"/>
  <c r="S55" i="132"/>
  <c r="N55" i="132"/>
  <c r="T54" i="132"/>
  <c r="S54" i="132"/>
  <c r="N54" i="132"/>
  <c r="S53" i="132"/>
  <c r="N53" i="132"/>
  <c r="S52" i="132"/>
  <c r="N52" i="132"/>
  <c r="C101" i="37"/>
  <c r="B101" i="37"/>
  <c r="B92" i="37" a="1"/>
  <c r="B92" i="37" s="1"/>
  <c r="C108" i="37"/>
  <c r="C99" i="37" a="1"/>
  <c r="C99" i="37" s="1"/>
  <c r="C107" i="37"/>
  <c r="C98" i="37" a="1"/>
  <c r="C98" i="37" s="1"/>
  <c r="C106" i="37"/>
  <c r="C97" i="37" a="1"/>
  <c r="C97" i="37" s="1"/>
  <c r="C104" i="37"/>
  <c r="C95" i="37" a="1"/>
  <c r="C95" i="37" s="1"/>
  <c r="C103" i="37"/>
  <c r="C94" i="37" a="1"/>
  <c r="C94" i="37" s="1"/>
  <c r="C102" i="37"/>
  <c r="C93" i="37" a="1"/>
  <c r="C93" i="37" s="1"/>
  <c r="C92" i="37" a="1"/>
  <c r="C92" i="37" s="1"/>
  <c r="N74" i="132"/>
  <c r="N73" i="132"/>
  <c r="N72" i="132"/>
  <c r="N71" i="132"/>
  <c r="N77" i="114"/>
  <c r="N76" i="114"/>
  <c r="N75" i="114"/>
  <c r="N74" i="114"/>
  <c r="E34" i="37" l="1" a="1"/>
  <c r="E34" i="37" s="1"/>
  <c r="E35" i="37" a="1"/>
  <c r="E35" i="37" s="1"/>
  <c r="D39" i="37" s="1"/>
  <c r="E36" i="37" a="1"/>
  <c r="E36" i="37" s="1"/>
  <c r="D26" i="128" s="1"/>
  <c r="E37" i="37" a="1"/>
  <c r="E37" i="37" s="1"/>
  <c r="D40" i="37" s="1"/>
  <c r="E38" i="37" a="1"/>
  <c r="E38" i="37" s="1"/>
  <c r="D149" i="7" s="1" a="1"/>
  <c r="D149" i="7" s="1"/>
  <c r="E41" i="37" l="1"/>
  <c r="T37" i="107" s="1"/>
  <c r="C114" i="37"/>
  <c r="D27" i="128"/>
  <c r="E40" i="37"/>
  <c r="T33" i="107" s="1"/>
  <c r="E39" i="37"/>
  <c r="T25" i="107" s="1"/>
  <c r="D41" i="37"/>
  <c r="A1" i="94"/>
  <c r="A1" i="93"/>
  <c r="D125" i="37" a="1"/>
  <c r="D125" i="37" s="1"/>
  <c r="D122" i="37" a="1"/>
  <c r="D122" i="37" s="1"/>
  <c r="Q23" i="153"/>
  <c r="Q24" i="153"/>
  <c r="Q25" i="153"/>
  <c r="Q26" i="153"/>
  <c r="Q27" i="153"/>
  <c r="Q28" i="153"/>
  <c r="Q29" i="153"/>
  <c r="Q30" i="153"/>
  <c r="N23" i="153"/>
  <c r="N24" i="153"/>
  <c r="N25" i="153"/>
  <c r="N26" i="153"/>
  <c r="N27" i="153"/>
  <c r="N28" i="153"/>
  <c r="N29" i="153"/>
  <c r="N30" i="153"/>
  <c r="D133" i="37" a="1"/>
  <c r="E43" i="37" l="1"/>
  <c r="D133" i="37"/>
  <c r="T58" i="114" l="1"/>
  <c r="T23" i="85"/>
  <c r="T52" i="132"/>
  <c r="T75" i="107"/>
  <c r="T23" i="145"/>
  <c r="T50" i="114"/>
  <c r="T22" i="85"/>
  <c r="T23" i="132"/>
  <c r="T53" i="145"/>
  <c r="T21" i="132"/>
  <c r="T20" i="114"/>
  <c r="T21" i="85"/>
  <c r="T22" i="132"/>
  <c r="T53" i="4"/>
  <c r="T53" i="86"/>
  <c r="T22" i="145"/>
  <c r="T23" i="4"/>
  <c r="T60" i="132"/>
  <c r="T21" i="86"/>
  <c r="T21" i="145"/>
  <c r="T22" i="4"/>
  <c r="T53" i="85"/>
  <c r="T21" i="4"/>
  <c r="T65" i="87"/>
  <c r="T21" i="87"/>
  <c r="A1" i="115"/>
  <c r="A1" i="68"/>
  <c r="A1" i="39"/>
  <c r="A1" i="149"/>
  <c r="A1" i="140" l="1"/>
  <c r="A1" i="101"/>
  <c r="A1" i="118"/>
  <c r="A1" i="117"/>
  <c r="A1" i="70"/>
  <c r="A1" i="69"/>
  <c r="A1" i="66"/>
  <c r="A1" i="107"/>
  <c r="A1" i="4"/>
  <c r="A1" i="89"/>
  <c r="A1" i="15"/>
  <c r="A1" i="91" a="1"/>
  <c r="A1" i="91" s="1"/>
  <c r="A1" i="90" a="1"/>
  <c r="A1" i="90" s="1"/>
  <c r="D34" i="71"/>
  <c r="E9" i="145" l="1"/>
  <c r="D42" i="37" l="1"/>
  <c r="I6" i="141" l="1"/>
  <c r="J6" i="141" s="1"/>
  <c r="J5" i="141" s="1"/>
  <c r="J4" i="141" s="1"/>
  <c r="I5" i="141"/>
  <c r="I4" i="141"/>
  <c r="B23" i="128" a="1"/>
  <c r="B23" i="128" s="1"/>
  <c r="L58" i="66"/>
  <c r="G6" i="141" l="1"/>
  <c r="G5" i="141"/>
  <c r="G4" i="141"/>
  <c r="F6" i="141"/>
  <c r="E4" i="141"/>
  <c r="E6" i="141"/>
  <c r="E5" i="141"/>
  <c r="B6" i="141"/>
  <c r="B5" i="141"/>
  <c r="B4" i="141"/>
  <c r="H6" i="141" l="1"/>
  <c r="K6" i="141" s="1"/>
  <c r="F5" i="141"/>
  <c r="F4" i="141" s="1"/>
  <c r="H4" i="141" s="1"/>
  <c r="K4" i="141" s="1"/>
  <c r="E214" i="150"/>
  <c r="E215" i="150"/>
  <c r="E216" i="150"/>
  <c r="E217" i="150"/>
  <c r="E218" i="150"/>
  <c r="E219" i="150"/>
  <c r="E220" i="150"/>
  <c r="E221" i="150"/>
  <c r="E222" i="150"/>
  <c r="E223" i="150"/>
  <c r="E224" i="150"/>
  <c r="E225" i="150"/>
  <c r="E226" i="150"/>
  <c r="E227" i="150"/>
  <c r="E228" i="150"/>
  <c r="E229" i="150"/>
  <c r="E230" i="150"/>
  <c r="E231" i="150"/>
  <c r="E232" i="150"/>
  <c r="E233" i="150"/>
  <c r="E234" i="150"/>
  <c r="E235" i="150"/>
  <c r="E236" i="150"/>
  <c r="E237" i="150"/>
  <c r="E238" i="150"/>
  <c r="E239" i="150"/>
  <c r="E240" i="150"/>
  <c r="E241" i="150"/>
  <c r="H5" i="141" l="1"/>
  <c r="K5" i="141" s="1"/>
  <c r="C9" i="128" l="1"/>
  <c r="L4" i="141" l="1"/>
  <c r="N40" i="153"/>
  <c r="N39" i="153"/>
  <c r="N38" i="153"/>
  <c r="S37" i="153"/>
  <c r="N37" i="153"/>
  <c r="E36" i="153"/>
  <c r="N36" i="153" s="1"/>
  <c r="N35" i="153"/>
  <c r="N34" i="153"/>
  <c r="N33" i="153"/>
  <c r="N32" i="153"/>
  <c r="N31" i="153"/>
  <c r="Q22" i="153"/>
  <c r="N22" i="153"/>
  <c r="Q21" i="153"/>
  <c r="N21" i="153"/>
  <c r="Q20" i="153"/>
  <c r="N20" i="153"/>
  <c r="T17" i="153"/>
  <c r="S17" i="153"/>
  <c r="N17" i="153"/>
  <c r="T16" i="153"/>
  <c r="S16" i="153"/>
  <c r="N16" i="153"/>
  <c r="T15" i="153"/>
  <c r="S15" i="153"/>
  <c r="N15" i="153"/>
  <c r="T14" i="153"/>
  <c r="S14" i="153"/>
  <c r="N14" i="153"/>
  <c r="T13" i="153"/>
  <c r="S13" i="153"/>
  <c r="N13" i="153"/>
  <c r="T12" i="153"/>
  <c r="S12" i="153"/>
  <c r="N12" i="153"/>
  <c r="T11" i="153"/>
  <c r="S11" i="153"/>
  <c r="N11" i="153"/>
  <c r="T10" i="153"/>
  <c r="S10" i="153"/>
  <c r="N10" i="153"/>
  <c r="S9" i="153"/>
  <c r="N9" i="153"/>
  <c r="N8" i="153"/>
  <c r="N32" i="151"/>
  <c r="N31" i="151"/>
  <c r="N30" i="151"/>
  <c r="S29" i="151"/>
  <c r="N29" i="151"/>
  <c r="E28" i="151"/>
  <c r="S27" i="151"/>
  <c r="N27" i="151"/>
  <c r="N26" i="151"/>
  <c r="N25" i="151"/>
  <c r="N24" i="151"/>
  <c r="N23" i="151"/>
  <c r="Q22" i="151"/>
  <c r="N22" i="151"/>
  <c r="Q21" i="151"/>
  <c r="N21" i="151"/>
  <c r="Q20" i="151"/>
  <c r="N20" i="151"/>
  <c r="V32" i="151" s="1"/>
  <c r="T17" i="151"/>
  <c r="S17" i="151"/>
  <c r="N17" i="151"/>
  <c r="T16" i="151"/>
  <c r="S16" i="151"/>
  <c r="N16" i="151"/>
  <c r="T15" i="151"/>
  <c r="S15" i="151"/>
  <c r="N15" i="151"/>
  <c r="T14" i="151"/>
  <c r="S14" i="151"/>
  <c r="N14" i="151"/>
  <c r="T13" i="151"/>
  <c r="S13" i="151"/>
  <c r="N13" i="151"/>
  <c r="T12" i="151"/>
  <c r="S12" i="151"/>
  <c r="N12" i="151"/>
  <c r="T11" i="151"/>
  <c r="S11" i="151"/>
  <c r="N11" i="151"/>
  <c r="T10" i="151"/>
  <c r="S10" i="151"/>
  <c r="N10" i="151"/>
  <c r="T9" i="151"/>
  <c r="S9" i="151"/>
  <c r="N9" i="151"/>
  <c r="S8" i="151"/>
  <c r="N8" i="151"/>
  <c r="N31" i="152"/>
  <c r="N30" i="152"/>
  <c r="N29" i="152"/>
  <c r="S28" i="152"/>
  <c r="N28" i="152"/>
  <c r="S27" i="152"/>
  <c r="N27" i="152"/>
  <c r="N26" i="152"/>
  <c r="N25" i="152"/>
  <c r="N24" i="152"/>
  <c r="N23" i="152"/>
  <c r="Q22" i="152"/>
  <c r="N22" i="152"/>
  <c r="Q21" i="152"/>
  <c r="N21" i="152"/>
  <c r="Q20" i="152"/>
  <c r="N20" i="152"/>
  <c r="V31" i="152" s="1"/>
  <c r="T17" i="152"/>
  <c r="S17" i="152"/>
  <c r="N17" i="152"/>
  <c r="T16" i="152"/>
  <c r="S16" i="152"/>
  <c r="N16" i="152"/>
  <c r="T15" i="152"/>
  <c r="S15" i="152"/>
  <c r="N15" i="152"/>
  <c r="T14" i="152"/>
  <c r="S14" i="152"/>
  <c r="N14" i="152"/>
  <c r="T13" i="152"/>
  <c r="S13" i="152"/>
  <c r="N13" i="152"/>
  <c r="T12" i="152"/>
  <c r="S12" i="152"/>
  <c r="N12" i="152"/>
  <c r="T11" i="152"/>
  <c r="S11" i="152"/>
  <c r="N11" i="152"/>
  <c r="T10" i="152"/>
  <c r="S10" i="152"/>
  <c r="N10" i="152"/>
  <c r="S9" i="152"/>
  <c r="N9" i="152"/>
  <c r="N8" i="152"/>
  <c r="D58" i="66"/>
  <c r="C24" i="128" a="1"/>
  <c r="C24" i="128" s="1"/>
  <c r="A1" i="121"/>
  <c r="A1" i="92"/>
  <c r="A1" i="95"/>
  <c r="A1" i="85"/>
  <c r="A1" i="122"/>
  <c r="A1" i="96"/>
  <c r="A1" i="97"/>
  <c r="A1" i="99"/>
  <c r="A1" i="100"/>
  <c r="A1" i="86"/>
  <c r="A1" i="114"/>
  <c r="A1" i="116"/>
  <c r="A1" i="112"/>
  <c r="A1" i="111"/>
  <c r="A1" i="110"/>
  <c r="A1" i="123"/>
  <c r="A1" i="120"/>
  <c r="A1" i="87"/>
  <c r="A1" i="104"/>
  <c r="A1" i="103"/>
  <c r="A1" i="102"/>
  <c r="A1" i="145"/>
  <c r="A1" i="143"/>
  <c r="A1" i="144"/>
  <c r="A1" i="132"/>
  <c r="A1" i="133"/>
  <c r="A1" i="141"/>
  <c r="C7" i="148"/>
  <c r="C7" i="149"/>
  <c r="C8" i="149" s="1"/>
  <c r="V17" i="153" l="1"/>
  <c r="V8" i="151"/>
  <c r="V28" i="152"/>
  <c r="V10" i="152"/>
  <c r="V13" i="152"/>
  <c r="V15" i="151"/>
  <c r="V15" i="152"/>
  <c r="V11" i="153"/>
  <c r="R22" i="153"/>
  <c r="R21" i="153"/>
  <c r="V17" i="152"/>
  <c r="R20" i="153"/>
  <c r="R28" i="153"/>
  <c r="R27" i="153"/>
  <c r="R29" i="153"/>
  <c r="R26" i="153"/>
  <c r="R25" i="153"/>
  <c r="R23" i="153"/>
  <c r="R30" i="153"/>
  <c r="R24" i="153"/>
  <c r="V9" i="153"/>
  <c r="V13" i="153"/>
  <c r="V36" i="153"/>
  <c r="R20" i="152"/>
  <c r="V37" i="153"/>
  <c r="V17" i="151"/>
  <c r="R20" i="151"/>
  <c r="V30" i="151"/>
  <c r="V11" i="151"/>
  <c r="V13" i="151"/>
  <c r="V9" i="152"/>
  <c r="V9" i="151"/>
  <c r="V14" i="151"/>
  <c r="V16" i="151"/>
  <c r="V16" i="153"/>
  <c r="V40" i="153"/>
  <c r="V16" i="152"/>
  <c r="R21" i="152"/>
  <c r="V12" i="151"/>
  <c r="V27" i="151"/>
  <c r="V14" i="153"/>
  <c r="V11" i="152"/>
  <c r="V14" i="152"/>
  <c r="V10" i="151"/>
  <c r="R22" i="151"/>
  <c r="V28" i="151"/>
  <c r="V12" i="153"/>
  <c r="V12" i="152"/>
  <c r="R22" i="152"/>
  <c r="O20" i="153"/>
  <c r="V10" i="153"/>
  <c r="V15" i="153"/>
  <c r="E33" i="107"/>
  <c r="N33" i="107" s="1"/>
  <c r="E110" i="107"/>
  <c r="E109" i="107"/>
  <c r="V35" i="153"/>
  <c r="V38" i="153"/>
  <c r="V39" i="153"/>
  <c r="N28" i="151"/>
  <c r="R21" i="151"/>
  <c r="V29" i="151"/>
  <c r="V31" i="151"/>
  <c r="V29" i="152"/>
  <c r="V30" i="152"/>
  <c r="V27" i="152"/>
  <c r="O20" i="152"/>
  <c r="V34" i="151" l="1"/>
  <c r="V42" i="153"/>
  <c r="V33" i="152"/>
  <c r="S11" i="144" l="1"/>
  <c r="I2" i="91" a="1"/>
  <c r="I2" i="91" l="1"/>
  <c r="T11" i="144"/>
  <c r="N13" i="145"/>
  <c r="Q13" i="145"/>
  <c r="D50" i="71" l="1"/>
  <c r="B24" i="128" a="1"/>
  <c r="B24" i="128" s="1"/>
  <c r="C7" i="140" l="1"/>
  <c r="Q2" i="69" l="1"/>
  <c r="P2" i="69"/>
  <c r="O2" i="69"/>
  <c r="O3" i="69"/>
  <c r="L8" i="133" l="1"/>
  <c r="L7" i="133"/>
  <c r="L3" i="133"/>
  <c r="D3" i="69"/>
  <c r="L10" i="141"/>
  <c r="L9" i="141"/>
  <c r="D145" i="71"/>
  <c r="N75" i="145" l="1"/>
  <c r="N74" i="145"/>
  <c r="N73" i="145"/>
  <c r="N72" i="145"/>
  <c r="N71" i="145"/>
  <c r="N70" i="145"/>
  <c r="N69" i="145"/>
  <c r="S68" i="145"/>
  <c r="N68" i="145"/>
  <c r="N65" i="145"/>
  <c r="N64" i="145"/>
  <c r="N63" i="145"/>
  <c r="N62" i="145"/>
  <c r="E61" i="145"/>
  <c r="N61" i="145" s="1"/>
  <c r="N58" i="145"/>
  <c r="S57" i="145"/>
  <c r="N57" i="145"/>
  <c r="T56" i="145"/>
  <c r="S56" i="145"/>
  <c r="N56" i="145"/>
  <c r="T55" i="145"/>
  <c r="S55" i="145"/>
  <c r="N55" i="145"/>
  <c r="S54" i="145"/>
  <c r="N54" i="145"/>
  <c r="S53" i="145"/>
  <c r="N53" i="145"/>
  <c r="N50" i="145"/>
  <c r="N49" i="145"/>
  <c r="N48" i="145"/>
  <c r="N47" i="145"/>
  <c r="N46" i="145"/>
  <c r="N43" i="145"/>
  <c r="N42" i="145"/>
  <c r="N41" i="145"/>
  <c r="N40" i="145"/>
  <c r="N39" i="145"/>
  <c r="N38" i="145"/>
  <c r="N37" i="145"/>
  <c r="N36" i="145"/>
  <c r="N35" i="145"/>
  <c r="N34" i="145"/>
  <c r="T30" i="145"/>
  <c r="S30" i="145"/>
  <c r="N30" i="145"/>
  <c r="T29" i="145"/>
  <c r="S29" i="145"/>
  <c r="N29" i="145"/>
  <c r="T28" i="145"/>
  <c r="S28" i="145"/>
  <c r="N28" i="145"/>
  <c r="T27" i="145"/>
  <c r="S27" i="145"/>
  <c r="N27" i="145"/>
  <c r="T26" i="145"/>
  <c r="S26" i="145"/>
  <c r="N26" i="145"/>
  <c r="T25" i="145"/>
  <c r="S25" i="145"/>
  <c r="N25" i="145"/>
  <c r="T24" i="145"/>
  <c r="S24" i="145"/>
  <c r="N24" i="145"/>
  <c r="S23" i="145"/>
  <c r="N23" i="145"/>
  <c r="S22" i="145"/>
  <c r="N22" i="145"/>
  <c r="S21" i="145"/>
  <c r="N21" i="145"/>
  <c r="N17" i="145"/>
  <c r="N16" i="145"/>
  <c r="N15" i="145"/>
  <c r="N14" i="145"/>
  <c r="Q12" i="145"/>
  <c r="N12" i="145"/>
  <c r="Q11" i="145"/>
  <c r="N11" i="145"/>
  <c r="Q10" i="145"/>
  <c r="N10" i="145"/>
  <c r="N9" i="145"/>
  <c r="N8" i="145"/>
  <c r="N32" i="144"/>
  <c r="N31" i="144"/>
  <c r="N30" i="144"/>
  <c r="S29" i="144"/>
  <c r="N29" i="144"/>
  <c r="N28" i="144"/>
  <c r="E28" i="144"/>
  <c r="N27" i="144"/>
  <c r="N26" i="144"/>
  <c r="N25" i="144"/>
  <c r="N24" i="144"/>
  <c r="N23" i="144"/>
  <c r="Q22" i="144"/>
  <c r="N22" i="144"/>
  <c r="Q21" i="144"/>
  <c r="N21" i="144"/>
  <c r="Q20" i="144"/>
  <c r="N20" i="144"/>
  <c r="V30" i="144" s="1"/>
  <c r="T17" i="144"/>
  <c r="S17" i="144"/>
  <c r="N17" i="144"/>
  <c r="T16" i="144"/>
  <c r="S16" i="144"/>
  <c r="N16" i="144"/>
  <c r="T15" i="144"/>
  <c r="S15" i="144"/>
  <c r="V15" i="144" s="1"/>
  <c r="N15" i="144"/>
  <c r="T14" i="144"/>
  <c r="S14" i="144"/>
  <c r="N14" i="144"/>
  <c r="T13" i="144"/>
  <c r="S13" i="144"/>
  <c r="N13" i="144"/>
  <c r="T12" i="144"/>
  <c r="S12" i="144"/>
  <c r="N12" i="144"/>
  <c r="N11" i="144"/>
  <c r="T10" i="144"/>
  <c r="S10" i="144"/>
  <c r="N10" i="144"/>
  <c r="S9" i="144"/>
  <c r="N9" i="144"/>
  <c r="N8" i="144"/>
  <c r="N31" i="143"/>
  <c r="N30" i="143"/>
  <c r="N29" i="143"/>
  <c r="S28" i="143"/>
  <c r="N28" i="143"/>
  <c r="S27" i="143"/>
  <c r="N27" i="143"/>
  <c r="N26" i="143"/>
  <c r="N25" i="143"/>
  <c r="N24" i="143"/>
  <c r="N23" i="143"/>
  <c r="Q22" i="143"/>
  <c r="N22" i="143"/>
  <c r="Q21" i="143"/>
  <c r="N21" i="143"/>
  <c r="Q20" i="143"/>
  <c r="N20" i="143"/>
  <c r="V27" i="143" s="1"/>
  <c r="T17" i="143"/>
  <c r="S17" i="143"/>
  <c r="N17" i="143"/>
  <c r="T16" i="143"/>
  <c r="S16" i="143"/>
  <c r="N16" i="143"/>
  <c r="T15" i="143"/>
  <c r="S15" i="143"/>
  <c r="N15" i="143"/>
  <c r="T14" i="143"/>
  <c r="S14" i="143"/>
  <c r="N14" i="143"/>
  <c r="T13" i="143"/>
  <c r="S13" i="143"/>
  <c r="N13" i="143"/>
  <c r="T12" i="143"/>
  <c r="S12" i="143"/>
  <c r="N12" i="143"/>
  <c r="T11" i="143"/>
  <c r="S11" i="143"/>
  <c r="N11" i="143"/>
  <c r="T10" i="143"/>
  <c r="S10" i="143"/>
  <c r="N10" i="143"/>
  <c r="S9" i="143"/>
  <c r="N9" i="143"/>
  <c r="N8" i="143"/>
  <c r="D10" i="141"/>
  <c r="B32" i="145" s="1"/>
  <c r="B19" i="145"/>
  <c r="V15" i="143" l="1"/>
  <c r="V12" i="144"/>
  <c r="V17" i="144"/>
  <c r="V9" i="144"/>
  <c r="V28" i="144"/>
  <c r="R22" i="144"/>
  <c r="V30" i="145"/>
  <c r="V9" i="143"/>
  <c r="V12" i="143"/>
  <c r="V17" i="143"/>
  <c r="O20" i="144"/>
  <c r="E7" i="141" s="1"/>
  <c r="V13" i="144"/>
  <c r="R20" i="143"/>
  <c r="I8" i="141" s="1"/>
  <c r="V31" i="144"/>
  <c r="V13" i="143"/>
  <c r="V11" i="144"/>
  <c r="V16" i="144"/>
  <c r="V10" i="144"/>
  <c r="V10" i="143"/>
  <c r="V14" i="144"/>
  <c r="V32" i="144"/>
  <c r="V29" i="143"/>
  <c r="O20" i="143"/>
  <c r="E8" i="141" s="1"/>
  <c r="V31" i="143"/>
  <c r="R20" i="144"/>
  <c r="I7" i="141" s="1"/>
  <c r="V29" i="144"/>
  <c r="V25" i="145"/>
  <c r="V28" i="145"/>
  <c r="V11" i="143"/>
  <c r="V16" i="143"/>
  <c r="R22" i="143"/>
  <c r="V14" i="143"/>
  <c r="R21" i="144"/>
  <c r="V26" i="145"/>
  <c r="V72" i="145"/>
  <c r="V63" i="145"/>
  <c r="V58" i="145"/>
  <c r="V40" i="145"/>
  <c r="V36" i="145"/>
  <c r="V69" i="145"/>
  <c r="V37" i="145"/>
  <c r="V49" i="145"/>
  <c r="V64" i="145"/>
  <c r="V41" i="145"/>
  <c r="V75" i="145"/>
  <c r="V71" i="145"/>
  <c r="V62" i="145"/>
  <c r="V55" i="145"/>
  <c r="V43" i="145"/>
  <c r="V39" i="145"/>
  <c r="V35" i="145"/>
  <c r="V47" i="145"/>
  <c r="V50" i="145"/>
  <c r="V46" i="145"/>
  <c r="V48" i="145"/>
  <c r="V74" i="145"/>
  <c r="V70" i="145"/>
  <c r="V65" i="145"/>
  <c r="V42" i="145"/>
  <c r="V38" i="145"/>
  <c r="V34" i="145"/>
  <c r="O9" i="145"/>
  <c r="E9" i="141" s="1"/>
  <c r="F8" i="141" s="1"/>
  <c r="V73" i="145"/>
  <c r="V56" i="145"/>
  <c r="V29" i="145"/>
  <c r="V24" i="145"/>
  <c r="V27" i="145"/>
  <c r="V54" i="145"/>
  <c r="V57" i="145"/>
  <c r="V68" i="145"/>
  <c r="V61" i="145"/>
  <c r="Q9" i="145"/>
  <c r="V27" i="144"/>
  <c r="V28" i="143"/>
  <c r="V30" i="143"/>
  <c r="R21" i="143"/>
  <c r="E18" i="141" l="1"/>
  <c r="R13" i="145"/>
  <c r="V34" i="144"/>
  <c r="G7" i="141" s="1"/>
  <c r="V33" i="143"/>
  <c r="G8" i="141" s="1"/>
  <c r="H8" i="141" s="1"/>
  <c r="F7" i="141"/>
  <c r="V45" i="145"/>
  <c r="G11" i="141" s="1"/>
  <c r="V60" i="145"/>
  <c r="G13" i="141" s="1"/>
  <c r="R12" i="145"/>
  <c r="R9" i="145"/>
  <c r="I9" i="141" s="1"/>
  <c r="R10" i="145"/>
  <c r="R11" i="145"/>
  <c r="V67" i="145"/>
  <c r="G14" i="141" s="1"/>
  <c r="V33" i="145"/>
  <c r="G10" i="141" s="1"/>
  <c r="H7" i="141" l="1"/>
  <c r="V43" i="103"/>
  <c r="V42" i="103"/>
  <c r="C8" i="140" l="1"/>
  <c r="E28" i="15"/>
  <c r="I3" i="115"/>
  <c r="G3" i="115"/>
  <c r="C65" i="37" a="1"/>
  <c r="C65" i="37" s="1"/>
  <c r="C64" i="37" a="1"/>
  <c r="C64" i="37" s="1"/>
  <c r="C63" i="37" a="1"/>
  <c r="C63" i="37" s="1"/>
  <c r="B25" i="128" l="1"/>
  <c r="D17" i="128" l="1"/>
  <c r="C111" i="37" l="1" a="1"/>
  <c r="C111" i="37" s="1"/>
  <c r="E9" i="132"/>
  <c r="E9" i="114"/>
  <c r="E9" i="87"/>
  <c r="E9" i="86"/>
  <c r="B62" i="37" a="1"/>
  <c r="B62" i="37" s="1"/>
  <c r="G26" i="68" l="1"/>
  <c r="E28" i="90"/>
  <c r="E30" i="94"/>
  <c r="E29" i="94"/>
  <c r="E30" i="99"/>
  <c r="E29" i="99"/>
  <c r="E43" i="103"/>
  <c r="E38" i="103"/>
  <c r="E30" i="103"/>
  <c r="E29" i="103"/>
  <c r="E30" i="112"/>
  <c r="E29" i="112"/>
  <c r="N20" i="15"/>
  <c r="B35" i="107"/>
  <c r="V28" i="15" l="1"/>
  <c r="V27" i="15"/>
  <c r="V16" i="15"/>
  <c r="V32" i="15"/>
  <c r="V31" i="15"/>
  <c r="V14" i="15"/>
  <c r="V9" i="15"/>
  <c r="V17" i="15"/>
  <c r="V12" i="15"/>
  <c r="V10" i="15"/>
  <c r="V11" i="15"/>
  <c r="V15" i="15"/>
  <c r="V29" i="15"/>
  <c r="V30" i="15"/>
  <c r="V13" i="15"/>
  <c r="V21" i="145" l="1"/>
  <c r="V53" i="145"/>
  <c r="V52" i="145" s="1"/>
  <c r="G12" i="141" s="1"/>
  <c r="V23" i="145"/>
  <c r="V22" i="145"/>
  <c r="D78" i="37" a="1"/>
  <c r="D78" i="37" s="1"/>
  <c r="D74" i="37" a="1"/>
  <c r="D74" i="37" s="1"/>
  <c r="C70" i="37" a="1"/>
  <c r="C70" i="37" s="1"/>
  <c r="C69" i="37" a="1"/>
  <c r="C69" i="37" s="1"/>
  <c r="C66" i="37" a="1"/>
  <c r="C66" i="37" s="1"/>
  <c r="C67" i="37" a="1"/>
  <c r="C67" i="37" s="1"/>
  <c r="C12" i="128"/>
  <c r="V20" i="145" l="1"/>
  <c r="C27" i="37" a="1"/>
  <c r="C27" i="37" s="1"/>
  <c r="G9" i="141" l="1"/>
  <c r="V77" i="145"/>
  <c r="E4" i="70"/>
  <c r="E3" i="70"/>
  <c r="I4" i="70"/>
  <c r="I3" i="70"/>
  <c r="I5" i="115"/>
  <c r="I4" i="115"/>
  <c r="E4" i="39"/>
  <c r="I4" i="39"/>
  <c r="E5" i="115"/>
  <c r="E4" i="115"/>
  <c r="E3" i="133" l="1"/>
  <c r="E27" i="68" l="1"/>
  <c r="E5" i="68"/>
  <c r="C62" i="37" l="1" a="1"/>
  <c r="C62" i="37" s="1"/>
  <c r="B76" i="37" a="1"/>
  <c r="B76" i="37" s="1"/>
  <c r="C77" i="37" a="1"/>
  <c r="C77" i="37" s="1"/>
  <c r="C76" i="37" a="1"/>
  <c r="C76" i="37" s="1"/>
  <c r="N32" i="120" l="1"/>
  <c r="N24" i="89"/>
  <c r="N8" i="15"/>
  <c r="N12" i="107"/>
  <c r="Q10" i="107"/>
  <c r="Q11" i="107"/>
  <c r="Q12" i="107"/>
  <c r="Q13" i="107"/>
  <c r="N76" i="107"/>
  <c r="N77" i="107"/>
  <c r="N78" i="107"/>
  <c r="N79" i="107"/>
  <c r="N80" i="107"/>
  <c r="N75" i="107"/>
  <c r="N68" i="107"/>
  <c r="N69" i="107"/>
  <c r="N70" i="107"/>
  <c r="N71" i="107"/>
  <c r="N67" i="107"/>
  <c r="N55" i="107"/>
  <c r="N56" i="107"/>
  <c r="N57" i="107"/>
  <c r="N58" i="107"/>
  <c r="N59" i="107"/>
  <c r="N60" i="107"/>
  <c r="N61" i="107"/>
  <c r="N62" i="107"/>
  <c r="N63" i="107"/>
  <c r="N54" i="107"/>
  <c r="N42" i="107"/>
  <c r="N43" i="107"/>
  <c r="N44" i="107"/>
  <c r="N45" i="107"/>
  <c r="N46" i="107"/>
  <c r="N47" i="107"/>
  <c r="N48" i="107"/>
  <c r="N49" i="107"/>
  <c r="N50" i="107"/>
  <c r="N41" i="107"/>
  <c r="N10" i="107"/>
  <c r="N11" i="107"/>
  <c r="N13" i="107"/>
  <c r="N14" i="107"/>
  <c r="N15" i="107"/>
  <c r="N16" i="107"/>
  <c r="N17" i="107"/>
  <c r="N32" i="15" l="1"/>
  <c r="N31" i="15"/>
  <c r="N30" i="15"/>
  <c r="N29" i="15"/>
  <c r="N27" i="15"/>
  <c r="N26" i="15"/>
  <c r="N25" i="15"/>
  <c r="N24" i="15"/>
  <c r="N23" i="15"/>
  <c r="Q22" i="15"/>
  <c r="N22" i="15"/>
  <c r="Q21" i="15"/>
  <c r="N21" i="15"/>
  <c r="Q20" i="15"/>
  <c r="N17" i="15"/>
  <c r="N16" i="15"/>
  <c r="N15" i="15"/>
  <c r="N14" i="15"/>
  <c r="N13" i="15"/>
  <c r="N12" i="15"/>
  <c r="N11" i="15"/>
  <c r="N10" i="15"/>
  <c r="N9" i="15"/>
  <c r="N32" i="117"/>
  <c r="N31" i="117"/>
  <c r="N30" i="117"/>
  <c r="N29" i="117"/>
  <c r="N28" i="117"/>
  <c r="N27" i="117"/>
  <c r="N26" i="117"/>
  <c r="N25" i="117"/>
  <c r="N24" i="117"/>
  <c r="N23" i="117"/>
  <c r="Q22" i="117"/>
  <c r="N22" i="117"/>
  <c r="Q21" i="117"/>
  <c r="N21" i="117"/>
  <c r="Q20" i="117"/>
  <c r="N20" i="117"/>
  <c r="N17" i="117"/>
  <c r="N16" i="117"/>
  <c r="N15" i="117"/>
  <c r="N14" i="117"/>
  <c r="N13" i="117"/>
  <c r="N12" i="117"/>
  <c r="N11" i="117"/>
  <c r="N10" i="117"/>
  <c r="N9" i="117"/>
  <c r="N8" i="117"/>
  <c r="Q21" i="118"/>
  <c r="Q22" i="118"/>
  <c r="Q20" i="118"/>
  <c r="N21" i="118"/>
  <c r="N22" i="118"/>
  <c r="N23" i="118"/>
  <c r="N24" i="118"/>
  <c r="N25" i="118"/>
  <c r="N26" i="118"/>
  <c r="N27" i="118"/>
  <c r="N28" i="118"/>
  <c r="N29" i="118"/>
  <c r="N30" i="118"/>
  <c r="N31" i="118"/>
  <c r="N32" i="118"/>
  <c r="N20" i="118"/>
  <c r="N9" i="118"/>
  <c r="N10" i="118"/>
  <c r="N11" i="118"/>
  <c r="N12" i="118"/>
  <c r="N13" i="118"/>
  <c r="N14" i="118"/>
  <c r="N15" i="118"/>
  <c r="N16" i="118"/>
  <c r="N17" i="118"/>
  <c r="N8" i="118"/>
  <c r="N31" i="101"/>
  <c r="N30" i="101"/>
  <c r="N29" i="101"/>
  <c r="N28" i="101"/>
  <c r="N27" i="101"/>
  <c r="N26" i="101"/>
  <c r="N25" i="101"/>
  <c r="N24" i="101"/>
  <c r="N23" i="101"/>
  <c r="Q22" i="101"/>
  <c r="N22" i="101"/>
  <c r="Q21" i="101"/>
  <c r="N21" i="101"/>
  <c r="Q20" i="101"/>
  <c r="N20" i="101"/>
  <c r="N17" i="101"/>
  <c r="N16" i="101"/>
  <c r="N15" i="101"/>
  <c r="N14" i="101"/>
  <c r="N13" i="101"/>
  <c r="N12" i="101"/>
  <c r="N11" i="101"/>
  <c r="N10" i="101"/>
  <c r="N9" i="101"/>
  <c r="N8" i="101"/>
  <c r="N31" i="89"/>
  <c r="N30" i="89"/>
  <c r="N29" i="89"/>
  <c r="N28" i="89"/>
  <c r="N27" i="89"/>
  <c r="N26" i="89"/>
  <c r="N25" i="89"/>
  <c r="N23" i="89"/>
  <c r="Q22" i="89"/>
  <c r="N22" i="89"/>
  <c r="Q21" i="89"/>
  <c r="N21" i="89"/>
  <c r="Q20" i="89"/>
  <c r="N20" i="89"/>
  <c r="N17" i="89"/>
  <c r="N16" i="89"/>
  <c r="N15" i="89"/>
  <c r="N14" i="89"/>
  <c r="N13" i="89"/>
  <c r="N12" i="89"/>
  <c r="N11" i="89"/>
  <c r="N10" i="89"/>
  <c r="N9" i="89"/>
  <c r="N8" i="89"/>
  <c r="Q21" i="90"/>
  <c r="Q22" i="90"/>
  <c r="Q20" i="90"/>
  <c r="N21" i="90"/>
  <c r="N22" i="90"/>
  <c r="N23" i="90"/>
  <c r="N24" i="90"/>
  <c r="N25" i="90"/>
  <c r="N26" i="90"/>
  <c r="N27" i="90"/>
  <c r="N29" i="90"/>
  <c r="N30" i="90"/>
  <c r="N31" i="90"/>
  <c r="N32" i="90"/>
  <c r="N20" i="90"/>
  <c r="N9" i="90"/>
  <c r="N10" i="90"/>
  <c r="N11" i="90"/>
  <c r="N12" i="90"/>
  <c r="N13" i="90"/>
  <c r="N14" i="90"/>
  <c r="N15" i="90"/>
  <c r="N16" i="90"/>
  <c r="N17" i="90"/>
  <c r="N8" i="90"/>
  <c r="N31" i="91"/>
  <c r="N30" i="91"/>
  <c r="N29" i="91"/>
  <c r="N28" i="91"/>
  <c r="N27" i="91"/>
  <c r="N26" i="91"/>
  <c r="N25" i="91"/>
  <c r="N24" i="91"/>
  <c r="N23" i="91"/>
  <c r="Q22" i="91"/>
  <c r="N22" i="91"/>
  <c r="Q21" i="91"/>
  <c r="N21" i="91"/>
  <c r="Q20" i="91"/>
  <c r="N20" i="91"/>
  <c r="N17" i="91"/>
  <c r="N16" i="91"/>
  <c r="N15" i="91"/>
  <c r="N14" i="91"/>
  <c r="N13" i="91"/>
  <c r="N12" i="91"/>
  <c r="N11" i="91"/>
  <c r="N10" i="91"/>
  <c r="N9" i="91"/>
  <c r="N8" i="91"/>
  <c r="N75" i="4"/>
  <c r="N74" i="4"/>
  <c r="N73" i="4"/>
  <c r="N72" i="4"/>
  <c r="N71" i="4"/>
  <c r="N70" i="4"/>
  <c r="N69" i="4"/>
  <c r="N68" i="4"/>
  <c r="N65" i="4"/>
  <c r="N64" i="4"/>
  <c r="N63" i="4"/>
  <c r="N62" i="4"/>
  <c r="N58" i="4"/>
  <c r="N57" i="4"/>
  <c r="N56" i="4"/>
  <c r="N55" i="4"/>
  <c r="N54" i="4"/>
  <c r="N53" i="4"/>
  <c r="N50" i="4"/>
  <c r="N49" i="4"/>
  <c r="N48" i="4"/>
  <c r="N47" i="4"/>
  <c r="N46" i="4"/>
  <c r="N43" i="4"/>
  <c r="N42" i="4"/>
  <c r="N41" i="4"/>
  <c r="N40" i="4"/>
  <c r="N39" i="4"/>
  <c r="N38" i="4"/>
  <c r="N37" i="4"/>
  <c r="N36" i="4"/>
  <c r="N35" i="4"/>
  <c r="N34" i="4"/>
  <c r="N30" i="4"/>
  <c r="N29" i="4"/>
  <c r="N28" i="4"/>
  <c r="N27" i="4"/>
  <c r="N26" i="4"/>
  <c r="N25" i="4"/>
  <c r="N24" i="4"/>
  <c r="N23" i="4"/>
  <c r="N22" i="4"/>
  <c r="N21" i="4"/>
  <c r="N17" i="4"/>
  <c r="N16" i="4"/>
  <c r="N15" i="4"/>
  <c r="N14" i="4"/>
  <c r="Q13" i="4"/>
  <c r="N13" i="4"/>
  <c r="Q12" i="4"/>
  <c r="N12" i="4"/>
  <c r="Q11" i="4"/>
  <c r="N11" i="4"/>
  <c r="Q10" i="4"/>
  <c r="N10" i="4"/>
  <c r="N8" i="4"/>
  <c r="N91" i="132"/>
  <c r="N90" i="132"/>
  <c r="N89" i="132"/>
  <c r="N88" i="132"/>
  <c r="N87" i="132"/>
  <c r="N86" i="132"/>
  <c r="N85" i="132"/>
  <c r="N84" i="132"/>
  <c r="N81" i="132"/>
  <c r="N80" i="132"/>
  <c r="N79" i="132"/>
  <c r="N78" i="132"/>
  <c r="N67" i="132"/>
  <c r="N66" i="132"/>
  <c r="N63" i="132"/>
  <c r="N62" i="132"/>
  <c r="N61" i="132"/>
  <c r="N60" i="132"/>
  <c r="N49" i="132"/>
  <c r="N48" i="132"/>
  <c r="N47" i="132"/>
  <c r="N46" i="132"/>
  <c r="N45" i="132"/>
  <c r="N42" i="132"/>
  <c r="N41" i="132"/>
  <c r="N40" i="132"/>
  <c r="N39" i="132"/>
  <c r="N38" i="132"/>
  <c r="N37" i="132"/>
  <c r="N36" i="132"/>
  <c r="N35" i="132"/>
  <c r="N34" i="132"/>
  <c r="N33" i="132"/>
  <c r="N30" i="132"/>
  <c r="N29" i="132"/>
  <c r="N28" i="132"/>
  <c r="N27" i="132"/>
  <c r="N26" i="132"/>
  <c r="N25" i="132"/>
  <c r="N24" i="132"/>
  <c r="N23" i="132"/>
  <c r="N22" i="132"/>
  <c r="N21" i="132"/>
  <c r="N17" i="132"/>
  <c r="N16" i="132"/>
  <c r="N15" i="132"/>
  <c r="N14" i="132"/>
  <c r="Q13" i="132"/>
  <c r="N13" i="132"/>
  <c r="Q12" i="132"/>
  <c r="N12" i="132"/>
  <c r="Q11" i="132"/>
  <c r="N11" i="132"/>
  <c r="Q10" i="132"/>
  <c r="N10" i="132"/>
  <c r="Q9" i="132"/>
  <c r="N9" i="132"/>
  <c r="V64" i="132" s="1"/>
  <c r="N8" i="132"/>
  <c r="N31" i="121"/>
  <c r="N30" i="121"/>
  <c r="N29" i="121"/>
  <c r="N28" i="121"/>
  <c r="N27" i="121"/>
  <c r="N26" i="121"/>
  <c r="N25" i="121"/>
  <c r="N24" i="121"/>
  <c r="N23" i="121"/>
  <c r="Q22" i="121"/>
  <c r="N22" i="121"/>
  <c r="Q21" i="121"/>
  <c r="N21" i="121"/>
  <c r="Q20" i="121"/>
  <c r="N20" i="121"/>
  <c r="N17" i="121"/>
  <c r="N16" i="121"/>
  <c r="N15" i="121"/>
  <c r="N14" i="121"/>
  <c r="N13" i="121"/>
  <c r="N12" i="121"/>
  <c r="N11" i="121"/>
  <c r="N10" i="121"/>
  <c r="N9" i="121"/>
  <c r="N8" i="121"/>
  <c r="N31" i="92"/>
  <c r="N30" i="92"/>
  <c r="N29" i="92"/>
  <c r="N28" i="92"/>
  <c r="N27" i="92"/>
  <c r="N26" i="92"/>
  <c r="N25" i="92"/>
  <c r="N24" i="92"/>
  <c r="N23" i="92"/>
  <c r="Q22" i="92"/>
  <c r="N22" i="92"/>
  <c r="Q21" i="92"/>
  <c r="N21" i="92"/>
  <c r="Q20" i="92"/>
  <c r="N20" i="92"/>
  <c r="N17" i="92"/>
  <c r="N16" i="92"/>
  <c r="N15" i="92"/>
  <c r="N14" i="92"/>
  <c r="N13" i="92"/>
  <c r="N12" i="92"/>
  <c r="N11" i="92"/>
  <c r="N10" i="92"/>
  <c r="N9" i="92"/>
  <c r="N8" i="92"/>
  <c r="N31" i="93"/>
  <c r="N30" i="93"/>
  <c r="N29" i="93"/>
  <c r="N28" i="93"/>
  <c r="N27" i="93"/>
  <c r="N26" i="93"/>
  <c r="N25" i="93"/>
  <c r="N24" i="93"/>
  <c r="N23" i="93"/>
  <c r="Q22" i="93"/>
  <c r="N22" i="93"/>
  <c r="Q21" i="93"/>
  <c r="N21" i="93"/>
  <c r="Q20" i="93"/>
  <c r="N20" i="93"/>
  <c r="N17" i="93"/>
  <c r="N16" i="93"/>
  <c r="N15" i="93"/>
  <c r="N14" i="93"/>
  <c r="N13" i="93"/>
  <c r="N12" i="93"/>
  <c r="N11" i="93"/>
  <c r="N10" i="93"/>
  <c r="N9" i="93"/>
  <c r="N8" i="93"/>
  <c r="N34" i="94"/>
  <c r="N33" i="94"/>
  <c r="N32" i="94"/>
  <c r="N31" i="94"/>
  <c r="N30" i="94"/>
  <c r="N29" i="94"/>
  <c r="N28" i="94"/>
  <c r="N27" i="94"/>
  <c r="N26" i="94"/>
  <c r="N25" i="94"/>
  <c r="N24" i="94"/>
  <c r="N23" i="94"/>
  <c r="Q22" i="94"/>
  <c r="N22" i="94"/>
  <c r="Q21" i="94"/>
  <c r="N21" i="94"/>
  <c r="Q20" i="94"/>
  <c r="N20" i="94"/>
  <c r="N17" i="94"/>
  <c r="N16" i="94"/>
  <c r="N15" i="94"/>
  <c r="N14" i="94"/>
  <c r="N13" i="94"/>
  <c r="N12" i="94"/>
  <c r="N11" i="94"/>
  <c r="N10" i="94"/>
  <c r="N9" i="94"/>
  <c r="N8" i="94"/>
  <c r="N31" i="95"/>
  <c r="N30" i="95"/>
  <c r="N29" i="95"/>
  <c r="N28" i="95"/>
  <c r="N27" i="95"/>
  <c r="N26" i="95"/>
  <c r="N25" i="95"/>
  <c r="N24" i="95"/>
  <c r="N23" i="95"/>
  <c r="Q22" i="95"/>
  <c r="N22" i="95"/>
  <c r="Q21" i="95"/>
  <c r="N21" i="95"/>
  <c r="Q20" i="95"/>
  <c r="N20" i="95"/>
  <c r="N17" i="95"/>
  <c r="N16" i="95"/>
  <c r="N15" i="95"/>
  <c r="N14" i="95"/>
  <c r="N13" i="95"/>
  <c r="N12" i="95"/>
  <c r="N11" i="95"/>
  <c r="N10" i="95"/>
  <c r="N9" i="95"/>
  <c r="N8" i="95"/>
  <c r="N9" i="96"/>
  <c r="N8" i="97"/>
  <c r="N31" i="122"/>
  <c r="N30" i="122"/>
  <c r="N29" i="122"/>
  <c r="N28" i="122"/>
  <c r="N27" i="122"/>
  <c r="N26" i="122"/>
  <c r="N25" i="122"/>
  <c r="N24" i="122"/>
  <c r="N23" i="122"/>
  <c r="Q22" i="122"/>
  <c r="N22" i="122"/>
  <c r="Q21" i="122"/>
  <c r="N21" i="122"/>
  <c r="Q20" i="122"/>
  <c r="N20" i="122"/>
  <c r="N17" i="122"/>
  <c r="N16" i="122"/>
  <c r="N15" i="122"/>
  <c r="N14" i="122"/>
  <c r="N13" i="122"/>
  <c r="N12" i="122"/>
  <c r="N11" i="122"/>
  <c r="N10" i="122"/>
  <c r="N9" i="122"/>
  <c r="N8" i="122"/>
  <c r="Q21" i="96"/>
  <c r="Q22" i="96"/>
  <c r="Q20" i="96"/>
  <c r="N21" i="96"/>
  <c r="N22" i="96"/>
  <c r="N23" i="96"/>
  <c r="N24" i="96"/>
  <c r="N25" i="96"/>
  <c r="N26" i="96"/>
  <c r="N27" i="96"/>
  <c r="N28" i="96"/>
  <c r="N29" i="96"/>
  <c r="N30" i="96"/>
  <c r="N31" i="96"/>
  <c r="N20" i="96"/>
  <c r="N10" i="96"/>
  <c r="N11" i="96"/>
  <c r="N12" i="96"/>
  <c r="N13" i="96"/>
  <c r="N14" i="96"/>
  <c r="N15" i="96"/>
  <c r="N16" i="96"/>
  <c r="N17" i="96"/>
  <c r="N8" i="96"/>
  <c r="N31" i="97"/>
  <c r="N30" i="97"/>
  <c r="N29" i="97"/>
  <c r="N28" i="97"/>
  <c r="N27" i="97"/>
  <c r="N26" i="97"/>
  <c r="N25" i="97"/>
  <c r="N24" i="97"/>
  <c r="N23" i="97"/>
  <c r="Q22" i="97"/>
  <c r="N22" i="97"/>
  <c r="Q21" i="97"/>
  <c r="N21" i="97"/>
  <c r="Q20" i="97"/>
  <c r="N20" i="97"/>
  <c r="N17" i="97"/>
  <c r="N16" i="97"/>
  <c r="N15" i="97"/>
  <c r="N14" i="97"/>
  <c r="N13" i="97"/>
  <c r="N12" i="97"/>
  <c r="N11" i="97"/>
  <c r="N10" i="97"/>
  <c r="N9" i="97"/>
  <c r="N34" i="99"/>
  <c r="N33" i="99"/>
  <c r="N32" i="99"/>
  <c r="N31" i="99"/>
  <c r="N30" i="99"/>
  <c r="N29" i="99"/>
  <c r="N28" i="99"/>
  <c r="N27" i="99"/>
  <c r="N26" i="99"/>
  <c r="N25" i="99"/>
  <c r="N24" i="99"/>
  <c r="N23" i="99"/>
  <c r="Q22" i="99"/>
  <c r="N22" i="99"/>
  <c r="Q21" i="99"/>
  <c r="N21" i="99"/>
  <c r="Q20" i="99"/>
  <c r="N20" i="99"/>
  <c r="N17" i="99"/>
  <c r="N16" i="99"/>
  <c r="N15" i="99"/>
  <c r="N14" i="99"/>
  <c r="N13" i="99"/>
  <c r="N12" i="99"/>
  <c r="N11" i="99"/>
  <c r="N10" i="99"/>
  <c r="N9" i="99"/>
  <c r="N8" i="99"/>
  <c r="N31" i="100"/>
  <c r="N30" i="100"/>
  <c r="N29" i="100"/>
  <c r="N28" i="100"/>
  <c r="N27" i="100"/>
  <c r="N26" i="100"/>
  <c r="N25" i="100"/>
  <c r="N24" i="100"/>
  <c r="N23" i="100"/>
  <c r="Q22" i="100"/>
  <c r="N22" i="100"/>
  <c r="Q21" i="100"/>
  <c r="N21" i="100"/>
  <c r="Q20" i="100"/>
  <c r="N20" i="100"/>
  <c r="N17" i="100"/>
  <c r="N16" i="100"/>
  <c r="N15" i="100"/>
  <c r="N14" i="100"/>
  <c r="N13" i="100"/>
  <c r="N12" i="100"/>
  <c r="N11" i="100"/>
  <c r="N10" i="100"/>
  <c r="N9" i="100"/>
  <c r="N8" i="100"/>
  <c r="N31" i="102"/>
  <c r="N30" i="102"/>
  <c r="N29" i="102"/>
  <c r="N28" i="102"/>
  <c r="N27" i="102"/>
  <c r="N26" i="102"/>
  <c r="N25" i="102"/>
  <c r="N24" i="102"/>
  <c r="N23" i="102"/>
  <c r="Q22" i="102"/>
  <c r="N22" i="102"/>
  <c r="Q21" i="102"/>
  <c r="N21" i="102"/>
  <c r="Q20" i="102"/>
  <c r="N20" i="102"/>
  <c r="N17" i="102"/>
  <c r="N16" i="102"/>
  <c r="N15" i="102"/>
  <c r="N14" i="102"/>
  <c r="N13" i="102"/>
  <c r="N12" i="102"/>
  <c r="N11" i="102"/>
  <c r="N10" i="102"/>
  <c r="N9" i="102"/>
  <c r="N8" i="102"/>
  <c r="N44" i="103"/>
  <c r="N42" i="103"/>
  <c r="N39" i="103"/>
  <c r="N37" i="103"/>
  <c r="N34" i="103"/>
  <c r="N33" i="103"/>
  <c r="N32" i="103"/>
  <c r="N31" i="103"/>
  <c r="N28" i="103"/>
  <c r="N27" i="103"/>
  <c r="N26" i="103"/>
  <c r="N25" i="103"/>
  <c r="N24" i="103"/>
  <c r="N23" i="103"/>
  <c r="Q22" i="103"/>
  <c r="N22" i="103"/>
  <c r="Q21" i="103"/>
  <c r="N21" i="103"/>
  <c r="Q20" i="103"/>
  <c r="N20" i="103"/>
  <c r="N17" i="103"/>
  <c r="N16" i="103"/>
  <c r="N15" i="103"/>
  <c r="N14" i="103"/>
  <c r="N13" i="103"/>
  <c r="N12" i="103"/>
  <c r="N11" i="103"/>
  <c r="N10" i="103"/>
  <c r="N9" i="103"/>
  <c r="N8" i="103"/>
  <c r="N31" i="104"/>
  <c r="N30" i="104"/>
  <c r="N29" i="104"/>
  <c r="N28" i="104"/>
  <c r="N27" i="104"/>
  <c r="N26" i="104"/>
  <c r="N25" i="104"/>
  <c r="N24" i="104"/>
  <c r="N23" i="104"/>
  <c r="Q22" i="104"/>
  <c r="N22" i="104"/>
  <c r="Q21" i="104"/>
  <c r="N21" i="104"/>
  <c r="Q20" i="104"/>
  <c r="N20" i="104"/>
  <c r="N17" i="104"/>
  <c r="N16" i="104"/>
  <c r="N15" i="104"/>
  <c r="N14" i="104"/>
  <c r="N13" i="104"/>
  <c r="N12" i="104"/>
  <c r="N11" i="104"/>
  <c r="N10" i="104"/>
  <c r="N9" i="104"/>
  <c r="N8" i="104"/>
  <c r="N31" i="120"/>
  <c r="N30" i="120"/>
  <c r="N29" i="120"/>
  <c r="N28" i="120"/>
  <c r="N27" i="120"/>
  <c r="N26" i="120"/>
  <c r="N25" i="120"/>
  <c r="N24" i="120"/>
  <c r="N23" i="120"/>
  <c r="Q22" i="120"/>
  <c r="N22" i="120"/>
  <c r="Q21" i="120"/>
  <c r="N21" i="120"/>
  <c r="Q20" i="120"/>
  <c r="N20" i="120"/>
  <c r="N17" i="120"/>
  <c r="N16" i="120"/>
  <c r="N15" i="120"/>
  <c r="N14" i="120"/>
  <c r="N13" i="120"/>
  <c r="N12" i="120"/>
  <c r="N11" i="120"/>
  <c r="N10" i="120"/>
  <c r="N9" i="120"/>
  <c r="N8" i="120"/>
  <c r="N31" i="123"/>
  <c r="N30" i="123"/>
  <c r="N29" i="123"/>
  <c r="N28" i="123"/>
  <c r="N27" i="123"/>
  <c r="N26" i="123"/>
  <c r="N25" i="123"/>
  <c r="N24" i="123"/>
  <c r="N23" i="123"/>
  <c r="Q22" i="123"/>
  <c r="N22" i="123"/>
  <c r="Q21" i="123"/>
  <c r="N21" i="123"/>
  <c r="Q20" i="123"/>
  <c r="N20" i="123"/>
  <c r="N17" i="123"/>
  <c r="N16" i="123"/>
  <c r="N15" i="123"/>
  <c r="N14" i="123"/>
  <c r="N13" i="123"/>
  <c r="N12" i="123"/>
  <c r="N11" i="123"/>
  <c r="N10" i="123"/>
  <c r="N9" i="123"/>
  <c r="N8" i="123"/>
  <c r="Q21" i="110"/>
  <c r="Q22" i="110"/>
  <c r="Q20" i="110"/>
  <c r="N31" i="110"/>
  <c r="N30" i="110"/>
  <c r="N29" i="110"/>
  <c r="N28" i="110"/>
  <c r="N27" i="110"/>
  <c r="N26" i="110"/>
  <c r="N25" i="110"/>
  <c r="N24" i="110"/>
  <c r="N23" i="110"/>
  <c r="N22" i="110"/>
  <c r="N21" i="110"/>
  <c r="N20" i="110"/>
  <c r="N17" i="110"/>
  <c r="N16" i="110"/>
  <c r="N15" i="110"/>
  <c r="N14" i="110"/>
  <c r="N13" i="110"/>
  <c r="N12" i="110"/>
  <c r="N11" i="110"/>
  <c r="N10" i="110"/>
  <c r="N9" i="110"/>
  <c r="N8" i="110"/>
  <c r="Q21" i="111"/>
  <c r="Q22" i="111"/>
  <c r="Q20" i="111"/>
  <c r="N20" i="111"/>
  <c r="N31" i="111"/>
  <c r="N30" i="111"/>
  <c r="N29" i="111"/>
  <c r="N28" i="111"/>
  <c r="N27" i="111"/>
  <c r="N26" i="111"/>
  <c r="N25" i="111"/>
  <c r="N24" i="111"/>
  <c r="N23" i="111"/>
  <c r="N22" i="111"/>
  <c r="N21" i="111"/>
  <c r="N17" i="111"/>
  <c r="N16" i="111"/>
  <c r="N15" i="111"/>
  <c r="N14" i="111"/>
  <c r="N13" i="111"/>
  <c r="N12" i="111"/>
  <c r="N11" i="111"/>
  <c r="N10" i="111"/>
  <c r="N9" i="111"/>
  <c r="N8" i="111"/>
  <c r="Q21" i="112"/>
  <c r="Q22" i="112"/>
  <c r="Q20" i="112"/>
  <c r="N21" i="112"/>
  <c r="N22" i="112"/>
  <c r="N23" i="112"/>
  <c r="N24" i="112"/>
  <c r="N25" i="112"/>
  <c r="N26" i="112"/>
  <c r="N27" i="112"/>
  <c r="N28" i="112"/>
  <c r="N29" i="112"/>
  <c r="N30" i="112"/>
  <c r="N31" i="112"/>
  <c r="N32" i="112"/>
  <c r="N33" i="112"/>
  <c r="N34" i="112"/>
  <c r="N20" i="112"/>
  <c r="N9" i="112"/>
  <c r="N10" i="112"/>
  <c r="N11" i="112"/>
  <c r="N12" i="112"/>
  <c r="N13" i="112"/>
  <c r="N14" i="112"/>
  <c r="N15" i="112"/>
  <c r="N16" i="112"/>
  <c r="N17" i="112"/>
  <c r="N8" i="112"/>
  <c r="Q22" i="116"/>
  <c r="Q21" i="116"/>
  <c r="Q20" i="116"/>
  <c r="N21" i="116"/>
  <c r="N22" i="116"/>
  <c r="N23" i="116"/>
  <c r="N24" i="116"/>
  <c r="N25" i="116"/>
  <c r="N26" i="116"/>
  <c r="N27" i="116"/>
  <c r="N28" i="116"/>
  <c r="N29" i="116"/>
  <c r="N30" i="116"/>
  <c r="N31" i="116"/>
  <c r="N20" i="116"/>
  <c r="N9" i="116"/>
  <c r="N10" i="116"/>
  <c r="N11" i="116"/>
  <c r="N12" i="116"/>
  <c r="N13" i="116"/>
  <c r="N14" i="116"/>
  <c r="N15" i="116"/>
  <c r="N16" i="116"/>
  <c r="N17" i="116"/>
  <c r="N8" i="116"/>
  <c r="N8" i="114"/>
  <c r="V56" i="132" l="1"/>
  <c r="V65" i="132"/>
  <c r="V54" i="132"/>
  <c r="V55" i="132"/>
  <c r="V52" i="132"/>
  <c r="V53" i="132"/>
  <c r="V57" i="132"/>
  <c r="V74" i="132"/>
  <c r="V73" i="132"/>
  <c r="V72" i="132"/>
  <c r="V71" i="132"/>
  <c r="R20" i="110"/>
  <c r="R20" i="102"/>
  <c r="R20" i="96"/>
  <c r="R20" i="121"/>
  <c r="V91" i="132"/>
  <c r="V81" i="132"/>
  <c r="V90" i="132"/>
  <c r="V80" i="132"/>
  <c r="V40" i="132"/>
  <c r="V89" i="132"/>
  <c r="V79" i="132"/>
  <c r="V49" i="132"/>
  <c r="V39" i="132"/>
  <c r="V88" i="132"/>
  <c r="V78" i="132"/>
  <c r="V48" i="132"/>
  <c r="V38" i="132"/>
  <c r="V87" i="132"/>
  <c r="V77" i="132"/>
  <c r="V47" i="132"/>
  <c r="V37" i="132"/>
  <c r="V86" i="132"/>
  <c r="V67" i="132"/>
  <c r="V46" i="132"/>
  <c r="V36" i="132"/>
  <c r="V85" i="132"/>
  <c r="V45" i="132"/>
  <c r="V35" i="132"/>
  <c r="V41" i="132"/>
  <c r="V42" i="132"/>
  <c r="V34" i="132"/>
  <c r="V33" i="132"/>
  <c r="R21" i="116"/>
  <c r="R21" i="118"/>
  <c r="V15" i="123"/>
  <c r="V31" i="123"/>
  <c r="V14" i="123"/>
  <c r="V30" i="123"/>
  <c r="V13" i="123"/>
  <c r="V29" i="123"/>
  <c r="V12" i="123"/>
  <c r="V10" i="123"/>
  <c r="V28" i="123"/>
  <c r="V11" i="123"/>
  <c r="V27" i="123"/>
  <c r="V17" i="123"/>
  <c r="V16" i="123"/>
  <c r="V16" i="92"/>
  <c r="V15" i="92"/>
  <c r="V29" i="92"/>
  <c r="V31" i="92"/>
  <c r="V14" i="92"/>
  <c r="V12" i="92"/>
  <c r="V30" i="92"/>
  <c r="V13" i="92"/>
  <c r="V28" i="92"/>
  <c r="V11" i="92"/>
  <c r="V17" i="92"/>
  <c r="V27" i="92"/>
  <c r="V10" i="92"/>
  <c r="R22" i="116"/>
  <c r="R20" i="123"/>
  <c r="V32" i="120"/>
  <c r="V15" i="120"/>
  <c r="V31" i="120"/>
  <c r="V14" i="120"/>
  <c r="V28" i="120"/>
  <c r="V16" i="120"/>
  <c r="V30" i="120"/>
  <c r="V13" i="120"/>
  <c r="V29" i="120"/>
  <c r="V12" i="120"/>
  <c r="V11" i="120"/>
  <c r="V35" i="120"/>
  <c r="V27" i="120"/>
  <c r="V10" i="120"/>
  <c r="V36" i="120"/>
  <c r="V17" i="120"/>
  <c r="V9" i="120"/>
  <c r="V28" i="102"/>
  <c r="V11" i="102"/>
  <c r="V27" i="102"/>
  <c r="V10" i="102"/>
  <c r="V17" i="102"/>
  <c r="V15" i="102"/>
  <c r="V16" i="102"/>
  <c r="V12" i="102"/>
  <c r="V31" i="102"/>
  <c r="V14" i="102"/>
  <c r="V29" i="102"/>
  <c r="V30" i="102"/>
  <c r="V13" i="102"/>
  <c r="R21" i="97"/>
  <c r="R20" i="92"/>
  <c r="I5" i="70" s="1"/>
  <c r="V31" i="121"/>
  <c r="V14" i="121"/>
  <c r="V30" i="121"/>
  <c r="V13" i="121"/>
  <c r="V10" i="121"/>
  <c r="V17" i="121"/>
  <c r="V29" i="121"/>
  <c r="V12" i="121"/>
  <c r="V28" i="121"/>
  <c r="V11" i="121"/>
  <c r="V27" i="121"/>
  <c r="V15" i="121"/>
  <c r="V16" i="121"/>
  <c r="R22" i="91"/>
  <c r="R20" i="90"/>
  <c r="V32" i="117"/>
  <c r="V15" i="117"/>
  <c r="V31" i="117"/>
  <c r="V14" i="117"/>
  <c r="V10" i="117"/>
  <c r="V8" i="117"/>
  <c r="V30" i="117"/>
  <c r="V13" i="117"/>
  <c r="V11" i="117"/>
  <c r="V16" i="117"/>
  <c r="V29" i="117"/>
  <c r="V12" i="117"/>
  <c r="V28" i="117"/>
  <c r="V27" i="117"/>
  <c r="V35" i="117"/>
  <c r="V36" i="117"/>
  <c r="V17" i="117"/>
  <c r="V31" i="104"/>
  <c r="V14" i="104"/>
  <c r="V30" i="104"/>
  <c r="V13" i="104"/>
  <c r="V27" i="104"/>
  <c r="V29" i="104"/>
  <c r="V12" i="104"/>
  <c r="V10" i="104"/>
  <c r="V28" i="104"/>
  <c r="V11" i="104"/>
  <c r="V15" i="104"/>
  <c r="V17" i="104"/>
  <c r="V16" i="104"/>
  <c r="V16" i="100"/>
  <c r="V15" i="100"/>
  <c r="V29" i="100"/>
  <c r="V31" i="100"/>
  <c r="V14" i="100"/>
  <c r="V30" i="100"/>
  <c r="V13" i="100"/>
  <c r="V12" i="100"/>
  <c r="V17" i="100"/>
  <c r="V28" i="100"/>
  <c r="V11" i="100"/>
  <c r="V27" i="100"/>
  <c r="V10" i="100"/>
  <c r="V28" i="95"/>
  <c r="V11" i="95"/>
  <c r="V27" i="95"/>
  <c r="V10" i="95"/>
  <c r="V15" i="95"/>
  <c r="V12" i="95"/>
  <c r="V17" i="95"/>
  <c r="V29" i="95"/>
  <c r="V16" i="95"/>
  <c r="V31" i="95"/>
  <c r="V14" i="95"/>
  <c r="V30" i="95"/>
  <c r="V13" i="95"/>
  <c r="V10" i="99"/>
  <c r="V34" i="99"/>
  <c r="V17" i="99"/>
  <c r="V33" i="99"/>
  <c r="V16" i="99"/>
  <c r="V13" i="99"/>
  <c r="V32" i="99"/>
  <c r="V15" i="99"/>
  <c r="V30" i="99"/>
  <c r="V31" i="99"/>
  <c r="V14" i="99"/>
  <c r="V29" i="99"/>
  <c r="V12" i="99"/>
  <c r="V27" i="99"/>
  <c r="V28" i="99"/>
  <c r="V11" i="99"/>
  <c r="V29" i="94"/>
  <c r="V28" i="94"/>
  <c r="V15" i="94"/>
  <c r="V27" i="94"/>
  <c r="V16" i="94"/>
  <c r="V32" i="94"/>
  <c r="V34" i="94"/>
  <c r="V17" i="94"/>
  <c r="V9" i="94"/>
  <c r="V33" i="94"/>
  <c r="V30" i="94"/>
  <c r="V13" i="94"/>
  <c r="V31" i="94"/>
  <c r="V14" i="94"/>
  <c r="V31" i="91"/>
  <c r="V14" i="91"/>
  <c r="V30" i="91"/>
  <c r="V13" i="91"/>
  <c r="V10" i="91"/>
  <c r="V29" i="91"/>
  <c r="V12" i="91"/>
  <c r="V17" i="91"/>
  <c r="V28" i="91"/>
  <c r="V11" i="91"/>
  <c r="V27" i="91"/>
  <c r="V15" i="91"/>
  <c r="V16" i="91"/>
  <c r="R22" i="111"/>
  <c r="V31" i="103"/>
  <c r="V14" i="103"/>
  <c r="V30" i="103"/>
  <c r="V13" i="103"/>
  <c r="V39" i="103"/>
  <c r="V29" i="103"/>
  <c r="V12" i="103"/>
  <c r="V34" i="103"/>
  <c r="V38" i="103"/>
  <c r="V28" i="103"/>
  <c r="V11" i="103"/>
  <c r="V37" i="103"/>
  <c r="V27" i="103"/>
  <c r="V17" i="103"/>
  <c r="V33" i="103"/>
  <c r="V16" i="103"/>
  <c r="V44" i="103"/>
  <c r="V32" i="103"/>
  <c r="V15" i="103"/>
  <c r="V15" i="97"/>
  <c r="V31" i="97"/>
  <c r="V14" i="97"/>
  <c r="V30" i="97"/>
  <c r="V13" i="97"/>
  <c r="V28" i="97"/>
  <c r="V29" i="97"/>
  <c r="V12" i="97"/>
  <c r="V11" i="97"/>
  <c r="V16" i="97"/>
  <c r="V27" i="97"/>
  <c r="V10" i="97"/>
  <c r="V17" i="97"/>
  <c r="V30" i="89"/>
  <c r="V13" i="89"/>
  <c r="V28" i="89"/>
  <c r="V12" i="89"/>
  <c r="V27" i="89"/>
  <c r="V11" i="89"/>
  <c r="V29" i="89"/>
  <c r="V10" i="89"/>
  <c r="V17" i="89"/>
  <c r="V16" i="89"/>
  <c r="V14" i="89"/>
  <c r="V31" i="89"/>
  <c r="V15" i="89"/>
  <c r="V17" i="101"/>
  <c r="V9" i="101"/>
  <c r="V16" i="101"/>
  <c r="V30" i="101"/>
  <c r="V27" i="101"/>
  <c r="V15" i="101"/>
  <c r="V31" i="101"/>
  <c r="V14" i="101"/>
  <c r="V13" i="101"/>
  <c r="V29" i="101"/>
  <c r="V12" i="101"/>
  <c r="V10" i="101"/>
  <c r="V28" i="101"/>
  <c r="V11" i="101"/>
  <c r="V30" i="122"/>
  <c r="V13" i="122"/>
  <c r="V29" i="122"/>
  <c r="V12" i="122"/>
  <c r="V31" i="122"/>
  <c r="V28" i="122"/>
  <c r="V11" i="122"/>
  <c r="V17" i="122"/>
  <c r="V27" i="122"/>
  <c r="V10" i="122"/>
  <c r="V16" i="122"/>
  <c r="V14" i="122"/>
  <c r="V15" i="122"/>
  <c r="V28" i="93"/>
  <c r="V27" i="93"/>
  <c r="V10" i="93"/>
  <c r="V17" i="93"/>
  <c r="V31" i="93"/>
  <c r="V16" i="93"/>
  <c r="V13" i="93"/>
  <c r="V11" i="93"/>
  <c r="V15" i="93"/>
  <c r="V14" i="93"/>
  <c r="V30" i="93"/>
  <c r="V29" i="93"/>
  <c r="V12" i="93"/>
  <c r="R21" i="89"/>
  <c r="R22" i="94"/>
  <c r="R22" i="120"/>
  <c r="R22" i="117"/>
  <c r="R21" i="122"/>
  <c r="R21" i="93"/>
  <c r="R9" i="132"/>
  <c r="I7" i="133" s="1"/>
  <c r="R21" i="101"/>
  <c r="R20" i="120"/>
  <c r="R20" i="104"/>
  <c r="I30" i="68" s="1"/>
  <c r="R20" i="100"/>
  <c r="I8" i="39" s="1"/>
  <c r="R20" i="103"/>
  <c r="I29" i="68" s="1"/>
  <c r="R20" i="99"/>
  <c r="I7" i="39" s="1"/>
  <c r="R20" i="94"/>
  <c r="I7" i="70" s="1"/>
  <c r="R21" i="120"/>
  <c r="R21" i="104"/>
  <c r="R21" i="100"/>
  <c r="R21" i="95"/>
  <c r="O20" i="93"/>
  <c r="E6" i="70" s="1"/>
  <c r="R20" i="116"/>
  <c r="R21" i="94"/>
  <c r="R20" i="111"/>
  <c r="R22" i="97"/>
  <c r="R22" i="96"/>
  <c r="R20" i="95"/>
  <c r="I8" i="70" s="1"/>
  <c r="R21" i="92"/>
  <c r="R21" i="90"/>
  <c r="R22" i="89"/>
  <c r="R20" i="117"/>
  <c r="R22" i="112"/>
  <c r="R21" i="123"/>
  <c r="R21" i="102"/>
  <c r="R21" i="96"/>
  <c r="R22" i="122"/>
  <c r="R22" i="93"/>
  <c r="R21" i="121"/>
  <c r="R22" i="101"/>
  <c r="R22" i="90"/>
  <c r="R21" i="111"/>
  <c r="R22" i="110"/>
  <c r="R22" i="92"/>
  <c r="R20" i="91"/>
  <c r="R20" i="118"/>
  <c r="R21" i="117"/>
  <c r="R21" i="110"/>
  <c r="R22" i="123"/>
  <c r="R21" i="103"/>
  <c r="R22" i="102"/>
  <c r="R21" i="99"/>
  <c r="R22" i="121"/>
  <c r="R22" i="118"/>
  <c r="I28" i="68"/>
  <c r="I6" i="68"/>
  <c r="O20" i="123"/>
  <c r="R22" i="104"/>
  <c r="R22" i="100"/>
  <c r="R20" i="97"/>
  <c r="I6" i="39" s="1"/>
  <c r="R22" i="95"/>
  <c r="R21" i="91"/>
  <c r="R20" i="89"/>
  <c r="R22" i="103"/>
  <c r="R22" i="99"/>
  <c r="R20" i="122"/>
  <c r="R20" i="93"/>
  <c r="I6" i="70" s="1"/>
  <c r="R20" i="101"/>
  <c r="R13" i="132"/>
  <c r="R12" i="132"/>
  <c r="R10" i="132"/>
  <c r="R11" i="132"/>
  <c r="R20" i="15"/>
  <c r="R22" i="15"/>
  <c r="R21" i="15"/>
  <c r="O20" i="89"/>
  <c r="R20" i="112"/>
  <c r="O20" i="99"/>
  <c r="E7" i="39" s="1"/>
  <c r="O20" i="122"/>
  <c r="O20" i="94"/>
  <c r="E7" i="70" s="1"/>
  <c r="O20" i="121"/>
  <c r="R21" i="112"/>
  <c r="O20" i="102"/>
  <c r="O20" i="104"/>
  <c r="O20" i="100"/>
  <c r="E8" i="39" s="1"/>
  <c r="O20" i="97"/>
  <c r="E6" i="39" s="1"/>
  <c r="O20" i="91"/>
  <c r="O9" i="132"/>
  <c r="E7" i="133" s="1"/>
  <c r="O20" i="92"/>
  <c r="E5" i="70" s="1"/>
  <c r="O20" i="95"/>
  <c r="E8" i="70" s="1"/>
  <c r="O20" i="103"/>
  <c r="I26" i="68"/>
  <c r="V51" i="132" l="1"/>
  <c r="G10" i="133" s="1"/>
  <c r="I8" i="68"/>
  <c r="I7" i="68"/>
  <c r="E6" i="68"/>
  <c r="E28" i="68"/>
  <c r="I6" i="69"/>
  <c r="I6" i="133"/>
  <c r="I27" i="68"/>
  <c r="I5" i="68"/>
  <c r="E6" i="69"/>
  <c r="E6" i="133"/>
  <c r="E7" i="68"/>
  <c r="E29" i="68"/>
  <c r="I4" i="69"/>
  <c r="I4" i="133"/>
  <c r="E30" i="68"/>
  <c r="E8" i="68"/>
  <c r="E4" i="69"/>
  <c r="E4" i="133"/>
  <c r="I3" i="133"/>
  <c r="I3" i="69"/>
  <c r="N69" i="85"/>
  <c r="N70" i="85"/>
  <c r="N71" i="85"/>
  <c r="N72" i="85"/>
  <c r="N73" i="85"/>
  <c r="N74" i="85"/>
  <c r="N75" i="85"/>
  <c r="N68" i="85"/>
  <c r="N63" i="85"/>
  <c r="N64" i="85"/>
  <c r="N65" i="85"/>
  <c r="N54" i="85"/>
  <c r="N55" i="85"/>
  <c r="N56" i="85"/>
  <c r="N57" i="85"/>
  <c r="N58" i="85"/>
  <c r="N53" i="85"/>
  <c r="N47" i="85"/>
  <c r="N48" i="85"/>
  <c r="N49" i="85"/>
  <c r="N50" i="85"/>
  <c r="N46" i="85"/>
  <c r="N35" i="85"/>
  <c r="N36" i="85"/>
  <c r="N37" i="85"/>
  <c r="N38" i="85"/>
  <c r="N39" i="85"/>
  <c r="N40" i="85"/>
  <c r="N41" i="85"/>
  <c r="N42" i="85"/>
  <c r="N43" i="85"/>
  <c r="N34" i="85"/>
  <c r="N22" i="85"/>
  <c r="N23" i="85"/>
  <c r="N24" i="85"/>
  <c r="N25" i="85"/>
  <c r="N26" i="85"/>
  <c r="N27" i="85"/>
  <c r="N28" i="85"/>
  <c r="N29" i="85"/>
  <c r="N30" i="85"/>
  <c r="N21" i="85"/>
  <c r="N10" i="85"/>
  <c r="N11" i="85"/>
  <c r="N12" i="85"/>
  <c r="N13" i="85"/>
  <c r="N14" i="85"/>
  <c r="N15" i="85"/>
  <c r="N16" i="85"/>
  <c r="N17" i="85"/>
  <c r="N8" i="85"/>
  <c r="N8" i="86"/>
  <c r="Q13" i="85"/>
  <c r="Q12" i="85"/>
  <c r="Q11" i="85"/>
  <c r="Q10" i="85"/>
  <c r="N11" i="86"/>
  <c r="N69" i="86"/>
  <c r="N70" i="86"/>
  <c r="N71" i="86"/>
  <c r="N72" i="86"/>
  <c r="N73" i="86"/>
  <c r="N74" i="86"/>
  <c r="N75" i="86"/>
  <c r="N68" i="86"/>
  <c r="N63" i="86"/>
  <c r="N64" i="86"/>
  <c r="N65" i="86"/>
  <c r="N54" i="86"/>
  <c r="N55" i="86"/>
  <c r="N56" i="86"/>
  <c r="N57" i="86"/>
  <c r="N58" i="86"/>
  <c r="N53" i="86"/>
  <c r="N47" i="86"/>
  <c r="N48" i="86"/>
  <c r="N49" i="86"/>
  <c r="N50" i="86"/>
  <c r="N46" i="86"/>
  <c r="N35" i="86"/>
  <c r="N36" i="86"/>
  <c r="N37" i="86"/>
  <c r="N38" i="86"/>
  <c r="N39" i="86"/>
  <c r="N40" i="86"/>
  <c r="N41" i="86"/>
  <c r="N42" i="86"/>
  <c r="N43" i="86"/>
  <c r="N34" i="86"/>
  <c r="N22" i="86"/>
  <c r="N23" i="86"/>
  <c r="N24" i="86"/>
  <c r="N25" i="86"/>
  <c r="N26" i="86"/>
  <c r="N27" i="86"/>
  <c r="N28" i="86"/>
  <c r="N29" i="86"/>
  <c r="N30" i="86"/>
  <c r="N21" i="86"/>
  <c r="N10" i="86"/>
  <c r="N12" i="86"/>
  <c r="N13" i="86"/>
  <c r="N14" i="86"/>
  <c r="N15" i="86"/>
  <c r="N16" i="86"/>
  <c r="N17" i="86"/>
  <c r="N8" i="87"/>
  <c r="Q13" i="86"/>
  <c r="Q12" i="86"/>
  <c r="Q11" i="86"/>
  <c r="Q10" i="86"/>
  <c r="Q13" i="114"/>
  <c r="Q12" i="114"/>
  <c r="Q11" i="114"/>
  <c r="Q10" i="114"/>
  <c r="N82" i="114"/>
  <c r="N83" i="114"/>
  <c r="N84" i="114"/>
  <c r="N85" i="114"/>
  <c r="N86" i="114"/>
  <c r="N87" i="114"/>
  <c r="N88" i="114"/>
  <c r="N81" i="114"/>
  <c r="N78" i="114"/>
  <c r="N51" i="114"/>
  <c r="N52" i="114"/>
  <c r="N53" i="114"/>
  <c r="N54" i="114"/>
  <c r="N55" i="114"/>
  <c r="N50" i="114"/>
  <c r="N45" i="114"/>
  <c r="N46" i="114"/>
  <c r="N47" i="114"/>
  <c r="N44" i="114"/>
  <c r="N41" i="114"/>
  <c r="N40" i="114"/>
  <c r="N39" i="114"/>
  <c r="N38" i="114"/>
  <c r="N37" i="114"/>
  <c r="N36" i="114"/>
  <c r="N35" i="114"/>
  <c r="N34" i="114"/>
  <c r="N33" i="114"/>
  <c r="N32" i="114"/>
  <c r="N29" i="114"/>
  <c r="N28" i="114"/>
  <c r="N27" i="114"/>
  <c r="N26" i="114"/>
  <c r="N25" i="114"/>
  <c r="N24" i="114"/>
  <c r="N23" i="114"/>
  <c r="N22" i="114"/>
  <c r="N21" i="114"/>
  <c r="N20" i="114"/>
  <c r="N17" i="114"/>
  <c r="N16" i="114"/>
  <c r="N15" i="114"/>
  <c r="N14" i="114"/>
  <c r="N13" i="114"/>
  <c r="N12" i="114"/>
  <c r="N11" i="114"/>
  <c r="N10" i="114"/>
  <c r="N16" i="87"/>
  <c r="N93" i="87"/>
  <c r="N94" i="87"/>
  <c r="N95" i="87"/>
  <c r="N96" i="87"/>
  <c r="N97" i="87"/>
  <c r="N98" i="87"/>
  <c r="N99" i="87"/>
  <c r="N92" i="87"/>
  <c r="N88" i="87"/>
  <c r="N81" i="87"/>
  <c r="N82" i="87"/>
  <c r="N75" i="87"/>
  <c r="N76" i="87"/>
  <c r="N66" i="87"/>
  <c r="N67" i="87"/>
  <c r="N68" i="87"/>
  <c r="N69" i="87"/>
  <c r="N70" i="87"/>
  <c r="N65" i="87"/>
  <c r="N60" i="87"/>
  <c r="N61" i="87"/>
  <c r="N59" i="87"/>
  <c r="N54" i="87"/>
  <c r="N55" i="87"/>
  <c r="N53" i="87"/>
  <c r="N48" i="87"/>
  <c r="N49" i="87"/>
  <c r="N47" i="87"/>
  <c r="N35" i="87"/>
  <c r="N36" i="87"/>
  <c r="N37" i="87"/>
  <c r="N38" i="87"/>
  <c r="N39" i="87"/>
  <c r="N40" i="87"/>
  <c r="N41" i="87"/>
  <c r="N42" i="87"/>
  <c r="N43" i="87"/>
  <c r="N34" i="87"/>
  <c r="N22" i="87"/>
  <c r="N23" i="87"/>
  <c r="N24" i="87"/>
  <c r="N25" i="87"/>
  <c r="N26" i="87"/>
  <c r="N27" i="87"/>
  <c r="N28" i="87"/>
  <c r="N29" i="87"/>
  <c r="N30" i="87"/>
  <c r="N21" i="87"/>
  <c r="N10" i="87"/>
  <c r="N11" i="87"/>
  <c r="N12" i="87"/>
  <c r="N13" i="87"/>
  <c r="N14" i="87"/>
  <c r="N15" i="87"/>
  <c r="N17" i="87"/>
  <c r="N9" i="87"/>
  <c r="O9" i="87" l="1"/>
  <c r="Q10" i="87"/>
  <c r="Q11" i="87"/>
  <c r="Q12" i="87"/>
  <c r="Q13" i="87"/>
  <c r="Q9" i="87"/>
  <c r="E9" i="68" l="1"/>
  <c r="E31" i="68"/>
  <c r="R12" i="87"/>
  <c r="R9" i="87"/>
  <c r="I31" i="68" s="1"/>
  <c r="R13" i="87"/>
  <c r="R11" i="87"/>
  <c r="R10" i="87"/>
  <c r="C5" i="128"/>
  <c r="C72" i="37" a="1"/>
  <c r="C72" i="37" s="1"/>
  <c r="B72" i="37" l="1" a="1"/>
  <c r="B72" i="37" s="1"/>
  <c r="C73" i="37"/>
  <c r="D3" i="133" l="1"/>
  <c r="B2" i="15" l="1"/>
  <c r="B2" i="91"/>
  <c r="B2" i="89"/>
  <c r="B2" i="90"/>
  <c r="D8" i="133"/>
  <c r="S84" i="132"/>
  <c r="V84" i="132" s="1"/>
  <c r="V66" i="132"/>
  <c r="S66" i="132"/>
  <c r="T63" i="132"/>
  <c r="S63" i="132"/>
  <c r="V63" i="132" s="1"/>
  <c r="T62" i="132"/>
  <c r="S62" i="132"/>
  <c r="V62" i="132" s="1"/>
  <c r="V61" i="132"/>
  <c r="S61" i="132"/>
  <c r="S60" i="132"/>
  <c r="T30" i="132"/>
  <c r="V30" i="132" s="1"/>
  <c r="S30" i="132"/>
  <c r="T29" i="132"/>
  <c r="V29" i="132" s="1"/>
  <c r="S29" i="132"/>
  <c r="T28" i="132"/>
  <c r="S28" i="132"/>
  <c r="V28" i="132" s="1"/>
  <c r="T27" i="132"/>
  <c r="S27" i="132"/>
  <c r="V27" i="132" s="1"/>
  <c r="T26" i="132"/>
  <c r="S26" i="132"/>
  <c r="V26" i="132" s="1"/>
  <c r="T25" i="132"/>
  <c r="V25" i="132" s="1"/>
  <c r="S25" i="132"/>
  <c r="T24" i="132"/>
  <c r="V24" i="132" s="1"/>
  <c r="S24" i="132"/>
  <c r="S23" i="132"/>
  <c r="S22" i="132"/>
  <c r="S21" i="132"/>
  <c r="N77" i="132" l="1"/>
  <c r="E70" i="132"/>
  <c r="V44" i="132"/>
  <c r="G9" i="133" s="1"/>
  <c r="V76" i="132"/>
  <c r="G13" i="133" s="1"/>
  <c r="H13" i="133" s="1"/>
  <c r="V32" i="132"/>
  <c r="G8" i="133" s="1"/>
  <c r="V83" i="132"/>
  <c r="G14" i="133" s="1"/>
  <c r="N70" i="132" l="1"/>
  <c r="V70" i="132"/>
  <c r="V69" i="132" s="1"/>
  <c r="G12" i="133" s="1"/>
  <c r="D89" i="37"/>
  <c r="D88" i="37"/>
  <c r="C68" i="37" a="1"/>
  <c r="C68" i="37" s="1"/>
  <c r="N9" i="86"/>
  <c r="E9" i="85"/>
  <c r="E9" i="4"/>
  <c r="E9" i="107"/>
  <c r="N9" i="107" l="1"/>
  <c r="V33" i="107" s="1"/>
  <c r="V32" i="107" s="1"/>
  <c r="Q9" i="107"/>
  <c r="Q9" i="4"/>
  <c r="N9" i="4"/>
  <c r="Q9" i="85"/>
  <c r="N9" i="85"/>
  <c r="N9" i="114"/>
  <c r="Q9" i="114"/>
  <c r="Q9" i="86"/>
  <c r="P27" i="68"/>
  <c r="Q27" i="68"/>
  <c r="P31" i="68"/>
  <c r="Q31" i="68"/>
  <c r="P32" i="68"/>
  <c r="Q32" i="68"/>
  <c r="P33" i="68"/>
  <c r="Q33" i="68"/>
  <c r="P34" i="68"/>
  <c r="Q34" i="68"/>
  <c r="P35" i="68"/>
  <c r="Q35" i="68"/>
  <c r="P36" i="68"/>
  <c r="Q36" i="68"/>
  <c r="O36" i="68"/>
  <c r="O35" i="68"/>
  <c r="O34" i="68"/>
  <c r="O33" i="68"/>
  <c r="O32" i="68"/>
  <c r="O31" i="68"/>
  <c r="O27" i="68"/>
  <c r="O14" i="68"/>
  <c r="P18" i="68"/>
  <c r="Q18" i="68"/>
  <c r="P9" i="68"/>
  <c r="Q9" i="68"/>
  <c r="P10" i="68"/>
  <c r="Q10" i="68"/>
  <c r="P11" i="68"/>
  <c r="Q11" i="68"/>
  <c r="P12" i="68"/>
  <c r="Q12" i="68"/>
  <c r="P13" i="68"/>
  <c r="Q13" i="68"/>
  <c r="P14" i="68"/>
  <c r="Q14" i="68"/>
  <c r="O18" i="68"/>
  <c r="O13" i="68"/>
  <c r="O12" i="68"/>
  <c r="O11" i="68"/>
  <c r="O10" i="68"/>
  <c r="O9" i="68"/>
  <c r="P5" i="68"/>
  <c r="Q5" i="68"/>
  <c r="O5" i="68"/>
  <c r="P18" i="39"/>
  <c r="Q18" i="39"/>
  <c r="P9" i="39"/>
  <c r="Q9" i="39"/>
  <c r="P10" i="39"/>
  <c r="Q10" i="39"/>
  <c r="P11" i="39"/>
  <c r="Q11" i="39"/>
  <c r="P12" i="39"/>
  <c r="Q12" i="39"/>
  <c r="P13" i="39"/>
  <c r="Q13" i="39"/>
  <c r="P14" i="39"/>
  <c r="Q14" i="39"/>
  <c r="O10" i="39"/>
  <c r="O11" i="39"/>
  <c r="O12" i="39"/>
  <c r="O13" i="39"/>
  <c r="O14" i="39"/>
  <c r="O18" i="39"/>
  <c r="O9" i="39"/>
  <c r="O5" i="39"/>
  <c r="P5" i="39"/>
  <c r="Q5" i="39"/>
  <c r="O5" i="70"/>
  <c r="O14" i="70"/>
  <c r="P9" i="70"/>
  <c r="Q9" i="70"/>
  <c r="P10" i="70"/>
  <c r="Q10" i="70"/>
  <c r="P11" i="70"/>
  <c r="Q11" i="70"/>
  <c r="P12" i="70"/>
  <c r="Q12" i="70"/>
  <c r="P13" i="70"/>
  <c r="Q13" i="70"/>
  <c r="P14" i="70"/>
  <c r="Q14" i="70"/>
  <c r="O13" i="70"/>
  <c r="O12" i="70"/>
  <c r="O11" i="70"/>
  <c r="O10" i="70"/>
  <c r="O9" i="70"/>
  <c r="Q3" i="70"/>
  <c r="P5" i="70"/>
  <c r="V63" i="114" l="1"/>
  <c r="V62" i="114"/>
  <c r="V61" i="114"/>
  <c r="V64" i="114"/>
  <c r="V77" i="114"/>
  <c r="V59" i="114"/>
  <c r="V60" i="114"/>
  <c r="V58" i="114"/>
  <c r="V65" i="114"/>
  <c r="V76" i="114"/>
  <c r="V75" i="114"/>
  <c r="V74" i="114"/>
  <c r="O9" i="114"/>
  <c r="E10" i="115" s="1"/>
  <c r="O9" i="4"/>
  <c r="V70" i="4"/>
  <c r="V69" i="4"/>
  <c r="V46" i="4"/>
  <c r="V36" i="4"/>
  <c r="V25" i="4"/>
  <c r="V68" i="4"/>
  <c r="V56" i="4"/>
  <c r="V43" i="4"/>
  <c r="V35" i="4"/>
  <c r="V24" i="4"/>
  <c r="V73" i="4"/>
  <c r="V40" i="4"/>
  <c r="V47" i="4"/>
  <c r="V75" i="4"/>
  <c r="V65" i="4"/>
  <c r="V55" i="4"/>
  <c r="V42" i="4"/>
  <c r="V34" i="4"/>
  <c r="V63" i="4"/>
  <c r="V29" i="4"/>
  <c r="V26" i="4"/>
  <c r="V74" i="4"/>
  <c r="V64" i="4"/>
  <c r="V41" i="4"/>
  <c r="V30" i="4"/>
  <c r="V50" i="4"/>
  <c r="V58" i="4"/>
  <c r="V37" i="4"/>
  <c r="V72" i="4"/>
  <c r="V62" i="4"/>
  <c r="V49" i="4"/>
  <c r="V39" i="4"/>
  <c r="V28" i="4"/>
  <c r="V71" i="4"/>
  <c r="V48" i="4"/>
  <c r="V38" i="4"/>
  <c r="V27" i="4"/>
  <c r="R9" i="114"/>
  <c r="R10" i="114"/>
  <c r="R11" i="114"/>
  <c r="R12" i="114"/>
  <c r="R13" i="114"/>
  <c r="R13" i="107"/>
  <c r="R9" i="107"/>
  <c r="I57" i="66" s="1"/>
  <c r="J57" i="66" s="1"/>
  <c r="R11" i="107"/>
  <c r="R10" i="107"/>
  <c r="R12" i="107"/>
  <c r="R12" i="85"/>
  <c r="R10" i="85"/>
  <c r="R11" i="85"/>
  <c r="R13" i="85"/>
  <c r="R9" i="85"/>
  <c r="R9" i="4"/>
  <c r="J9" i="141" s="1"/>
  <c r="J8" i="141" s="1"/>
  <c r="R13" i="4"/>
  <c r="R12" i="4"/>
  <c r="R11" i="4"/>
  <c r="R10" i="4"/>
  <c r="R13" i="86"/>
  <c r="R9" i="86"/>
  <c r="R10" i="86"/>
  <c r="R11" i="86"/>
  <c r="R12" i="86"/>
  <c r="P18" i="70"/>
  <c r="O18" i="70"/>
  <c r="Q18" i="70"/>
  <c r="V22" i="132"/>
  <c r="V21" i="132"/>
  <c r="V23" i="132"/>
  <c r="V57" i="114" l="1"/>
  <c r="G14" i="115" s="1"/>
  <c r="H14" i="115" s="1"/>
  <c r="J7" i="141"/>
  <c r="K8" i="141"/>
  <c r="V60" i="132"/>
  <c r="V59" i="132" s="1"/>
  <c r="G11" i="133" s="1"/>
  <c r="H11" i="133" s="1"/>
  <c r="E7" i="69"/>
  <c r="I7" i="69"/>
  <c r="V20" i="132"/>
  <c r="N99" i="107"/>
  <c r="N98" i="107"/>
  <c r="N97" i="107"/>
  <c r="N96" i="107"/>
  <c r="N95" i="107"/>
  <c r="N94" i="107"/>
  <c r="N93" i="107"/>
  <c r="N92" i="107"/>
  <c r="N88" i="107"/>
  <c r="N87" i="107"/>
  <c r="N86" i="107"/>
  <c r="N85" i="107"/>
  <c r="V93" i="132" l="1"/>
  <c r="O20" i="111"/>
  <c r="E7" i="115" s="1"/>
  <c r="G7" i="133"/>
  <c r="D75" i="66"/>
  <c r="L75" i="66" a="1"/>
  <c r="L75" i="66" s="1"/>
  <c r="L10" i="70" a="1"/>
  <c r="L10" i="70" s="1"/>
  <c r="L9" i="70" a="1"/>
  <c r="L9" i="70" s="1"/>
  <c r="T10" i="99"/>
  <c r="M3" i="141" l="1"/>
  <c r="V88" i="114"/>
  <c r="V87" i="114"/>
  <c r="V86" i="114"/>
  <c r="V85" i="114"/>
  <c r="V84" i="114"/>
  <c r="V83" i="114"/>
  <c r="V82" i="114"/>
  <c r="V81" i="114"/>
  <c r="V78" i="114"/>
  <c r="V73" i="114" s="1"/>
  <c r="G16" i="115" s="1"/>
  <c r="H16" i="115" s="1"/>
  <c r="V47" i="114"/>
  <c r="V46" i="114"/>
  <c r="V45" i="114"/>
  <c r="V44" i="114"/>
  <c r="V31" i="116"/>
  <c r="V30" i="116"/>
  <c r="V29" i="116"/>
  <c r="V28" i="116"/>
  <c r="V27" i="116"/>
  <c r="V34" i="112"/>
  <c r="V33" i="112"/>
  <c r="V32" i="112"/>
  <c r="V31" i="112"/>
  <c r="V28" i="112"/>
  <c r="V27" i="112"/>
  <c r="V31" i="111"/>
  <c r="V30" i="111"/>
  <c r="V29" i="111"/>
  <c r="V28" i="111"/>
  <c r="V27" i="111"/>
  <c r="V31" i="110"/>
  <c r="V30" i="110"/>
  <c r="V29" i="110"/>
  <c r="V28" i="110"/>
  <c r="V27" i="110"/>
  <c r="S16" i="120"/>
  <c r="T16" i="120"/>
  <c r="V75" i="87"/>
  <c r="V76" i="87"/>
  <c r="V48" i="87"/>
  <c r="V49" i="87"/>
  <c r="V47" i="87"/>
  <c r="V99" i="87"/>
  <c r="V98" i="87"/>
  <c r="V97" i="87"/>
  <c r="V96" i="87"/>
  <c r="V95" i="87"/>
  <c r="V94" i="87"/>
  <c r="V93" i="87"/>
  <c r="V92" i="87"/>
  <c r="V88" i="87"/>
  <c r="V61" i="87"/>
  <c r="V60" i="87"/>
  <c r="V59" i="87"/>
  <c r="S16" i="101"/>
  <c r="T16" i="101"/>
  <c r="V75" i="86"/>
  <c r="V74" i="86"/>
  <c r="V73" i="86"/>
  <c r="V72" i="86"/>
  <c r="V71" i="86"/>
  <c r="V70" i="86"/>
  <c r="V69" i="86"/>
  <c r="V68" i="86"/>
  <c r="V65" i="86"/>
  <c r="V64" i="86"/>
  <c r="V63" i="86"/>
  <c r="V50" i="86"/>
  <c r="V49" i="86"/>
  <c r="V48" i="86"/>
  <c r="V47" i="86"/>
  <c r="V46" i="86"/>
  <c r="V43" i="86"/>
  <c r="V42" i="86"/>
  <c r="V41" i="86"/>
  <c r="V40" i="86"/>
  <c r="V39" i="86"/>
  <c r="V38" i="86"/>
  <c r="V37" i="86"/>
  <c r="V36" i="86"/>
  <c r="V35" i="86"/>
  <c r="V34" i="86"/>
  <c r="V31" i="96"/>
  <c r="V30" i="96"/>
  <c r="V27" i="96"/>
  <c r="V36" i="118"/>
  <c r="V32" i="118"/>
  <c r="V31" i="118"/>
  <c r="V30" i="118"/>
  <c r="V8" i="118"/>
  <c r="S16" i="118"/>
  <c r="T16" i="118"/>
  <c r="V16" i="118" s="1"/>
  <c r="V75" i="85"/>
  <c r="V74" i="85"/>
  <c r="V73" i="85"/>
  <c r="V72" i="85"/>
  <c r="V71" i="85"/>
  <c r="V70" i="85"/>
  <c r="V69" i="85"/>
  <c r="V68" i="85"/>
  <c r="V65" i="85"/>
  <c r="V64" i="85"/>
  <c r="V63" i="85"/>
  <c r="V58" i="85"/>
  <c r="V50" i="85"/>
  <c r="V49" i="85"/>
  <c r="V48" i="85"/>
  <c r="V47" i="85"/>
  <c r="V46" i="85"/>
  <c r="S15" i="117"/>
  <c r="T15" i="117"/>
  <c r="S16" i="117"/>
  <c r="T16" i="117"/>
  <c r="V32" i="90"/>
  <c r="V31" i="90"/>
  <c r="V30" i="90"/>
  <c r="V27" i="90"/>
  <c r="V12" i="90"/>
  <c r="S16" i="15"/>
  <c r="T16" i="15"/>
  <c r="V99" i="107"/>
  <c r="V98" i="107"/>
  <c r="V97" i="107"/>
  <c r="V96" i="107"/>
  <c r="V95" i="107"/>
  <c r="V94" i="107"/>
  <c r="V93" i="107"/>
  <c r="V88" i="107"/>
  <c r="V87" i="107"/>
  <c r="V86" i="107"/>
  <c r="V85" i="107"/>
  <c r="V80" i="107"/>
  <c r="V71" i="107"/>
  <c r="V70" i="107"/>
  <c r="V69" i="107"/>
  <c r="V68" i="107"/>
  <c r="V67" i="107"/>
  <c r="V54" i="114"/>
  <c r="V51" i="114"/>
  <c r="S11" i="116"/>
  <c r="V11" i="116" s="1"/>
  <c r="T11" i="116"/>
  <c r="S12" i="116"/>
  <c r="V12" i="116" s="1"/>
  <c r="T12" i="116"/>
  <c r="S13" i="116"/>
  <c r="V13" i="116" s="1"/>
  <c r="T13" i="116"/>
  <c r="S14" i="116"/>
  <c r="V14" i="116" s="1"/>
  <c r="T14" i="116"/>
  <c r="S15" i="116"/>
  <c r="V15" i="116" s="1"/>
  <c r="T15" i="116"/>
  <c r="S16" i="116"/>
  <c r="V16" i="116" s="1"/>
  <c r="T16" i="116"/>
  <c r="S17" i="116"/>
  <c r="T17" i="116"/>
  <c r="V17" i="116" s="1"/>
  <c r="T10" i="116"/>
  <c r="V10" i="116" s="1"/>
  <c r="S10" i="116"/>
  <c r="V9" i="116"/>
  <c r="S9" i="116"/>
  <c r="S10" i="112"/>
  <c r="V10" i="112"/>
  <c r="V9" i="112"/>
  <c r="S9" i="112"/>
  <c r="S11" i="111"/>
  <c r="V11" i="111" s="1"/>
  <c r="T11" i="111"/>
  <c r="S12" i="111"/>
  <c r="V12" i="111" s="1"/>
  <c r="T12" i="111"/>
  <c r="S13" i="111"/>
  <c r="V13" i="111" s="1"/>
  <c r="T13" i="111"/>
  <c r="S14" i="111"/>
  <c r="V14" i="111" s="1"/>
  <c r="T14" i="111"/>
  <c r="S15" i="111"/>
  <c r="V15" i="111" s="1"/>
  <c r="T15" i="111"/>
  <c r="S16" i="111"/>
  <c r="V16" i="111" s="1"/>
  <c r="T16" i="111"/>
  <c r="S17" i="111"/>
  <c r="T17" i="111"/>
  <c r="V17" i="111" s="1"/>
  <c r="T10" i="111"/>
  <c r="V10" i="111" s="1"/>
  <c r="S10" i="111"/>
  <c r="V9" i="111"/>
  <c r="S9" i="111"/>
  <c r="S11" i="110"/>
  <c r="V11" i="110" s="1"/>
  <c r="T11" i="110"/>
  <c r="S12" i="110"/>
  <c r="V12" i="110" s="1"/>
  <c r="T12" i="110"/>
  <c r="S13" i="110"/>
  <c r="V13" i="110" s="1"/>
  <c r="T13" i="110"/>
  <c r="S14" i="110"/>
  <c r="V14" i="110" s="1"/>
  <c r="T14" i="110"/>
  <c r="S15" i="110"/>
  <c r="V15" i="110" s="1"/>
  <c r="T15" i="110"/>
  <c r="S16" i="110"/>
  <c r="V16" i="110" s="1"/>
  <c r="T16" i="110"/>
  <c r="S17" i="110"/>
  <c r="T17" i="110"/>
  <c r="V17" i="110" s="1"/>
  <c r="T10" i="110"/>
  <c r="V10" i="110" s="1"/>
  <c r="S10" i="110"/>
  <c r="V9" i="110"/>
  <c r="S9" i="110"/>
  <c r="S28" i="120"/>
  <c r="S11" i="123"/>
  <c r="T11" i="123"/>
  <c r="S12" i="123"/>
  <c r="T12" i="123"/>
  <c r="S13" i="123"/>
  <c r="T13" i="123"/>
  <c r="S14" i="123"/>
  <c r="T14" i="123"/>
  <c r="S15" i="123"/>
  <c r="T15" i="123"/>
  <c r="S16" i="123"/>
  <c r="T16" i="123"/>
  <c r="S17" i="123"/>
  <c r="T17" i="123"/>
  <c r="T10" i="123"/>
  <c r="S10" i="123"/>
  <c r="V9" i="123"/>
  <c r="S9" i="123"/>
  <c r="V8" i="120"/>
  <c r="S8" i="120"/>
  <c r="V69" i="87"/>
  <c r="V66" i="87"/>
  <c r="T17" i="104"/>
  <c r="S17" i="104"/>
  <c r="T16" i="104"/>
  <c r="S16" i="104"/>
  <c r="T15" i="104"/>
  <c r="S15" i="104"/>
  <c r="T14" i="104"/>
  <c r="S14" i="104"/>
  <c r="T13" i="104"/>
  <c r="S13" i="104"/>
  <c r="T12" i="104"/>
  <c r="S12" i="104"/>
  <c r="T11" i="104"/>
  <c r="S11" i="104"/>
  <c r="T10" i="104"/>
  <c r="S10" i="104"/>
  <c r="V9" i="104"/>
  <c r="S9" i="104"/>
  <c r="S10" i="103"/>
  <c r="V10" i="103"/>
  <c r="T17" i="103"/>
  <c r="S17" i="103"/>
  <c r="T16" i="103"/>
  <c r="S16" i="103"/>
  <c r="T15" i="103"/>
  <c r="S15" i="103"/>
  <c r="T14" i="103"/>
  <c r="S14" i="103"/>
  <c r="T13" i="103"/>
  <c r="S13" i="103"/>
  <c r="T12" i="103"/>
  <c r="S12" i="103"/>
  <c r="T11" i="103"/>
  <c r="S11" i="103"/>
  <c r="V9" i="103"/>
  <c r="S9" i="103"/>
  <c r="T17" i="102"/>
  <c r="S17" i="102"/>
  <c r="T16" i="102"/>
  <c r="S16" i="102"/>
  <c r="T15" i="102"/>
  <c r="S15" i="102"/>
  <c r="T14" i="102"/>
  <c r="S14" i="102"/>
  <c r="T13" i="102"/>
  <c r="S13" i="102"/>
  <c r="T12" i="102"/>
  <c r="S12" i="102"/>
  <c r="T11" i="102"/>
  <c r="S11" i="102"/>
  <c r="T10" i="102"/>
  <c r="S10" i="102"/>
  <c r="V9" i="102"/>
  <c r="S9" i="102"/>
  <c r="V8" i="101"/>
  <c r="S11" i="100"/>
  <c r="T11" i="100"/>
  <c r="S12" i="100"/>
  <c r="T12" i="100"/>
  <c r="S13" i="100"/>
  <c r="T13" i="100"/>
  <c r="S14" i="100"/>
  <c r="T14" i="100"/>
  <c r="S15" i="100"/>
  <c r="T15" i="100"/>
  <c r="S16" i="100"/>
  <c r="T16" i="100"/>
  <c r="S17" i="100"/>
  <c r="T17" i="100"/>
  <c r="T10" i="100"/>
  <c r="S10" i="100"/>
  <c r="V9" i="100"/>
  <c r="S9" i="100"/>
  <c r="S11" i="99"/>
  <c r="T11" i="99"/>
  <c r="S12" i="99"/>
  <c r="T12" i="99"/>
  <c r="S13" i="99"/>
  <c r="T13" i="99"/>
  <c r="S14" i="99"/>
  <c r="T14" i="99"/>
  <c r="S15" i="99"/>
  <c r="T15" i="99"/>
  <c r="S16" i="99"/>
  <c r="T16" i="99"/>
  <c r="S17" i="99"/>
  <c r="T17" i="99"/>
  <c r="S10" i="99"/>
  <c r="V9" i="99"/>
  <c r="S9" i="99"/>
  <c r="S11" i="97"/>
  <c r="T11" i="97"/>
  <c r="S12" i="97"/>
  <c r="T12" i="97"/>
  <c r="S13" i="97"/>
  <c r="T13" i="97"/>
  <c r="S14" i="97"/>
  <c r="T14" i="97"/>
  <c r="S15" i="97"/>
  <c r="T15" i="97"/>
  <c r="S16" i="97"/>
  <c r="T16" i="97"/>
  <c r="S17" i="97"/>
  <c r="T17" i="97"/>
  <c r="T10" i="97"/>
  <c r="S10" i="97"/>
  <c r="V9" i="97"/>
  <c r="S9" i="97"/>
  <c r="S11" i="96"/>
  <c r="V11" i="96" s="1"/>
  <c r="T11" i="96"/>
  <c r="S12" i="96"/>
  <c r="V12" i="96" s="1"/>
  <c r="T12" i="96"/>
  <c r="S13" i="96"/>
  <c r="V13" i="96" s="1"/>
  <c r="T13" i="96"/>
  <c r="S14" i="96"/>
  <c r="V14" i="96" s="1"/>
  <c r="T14" i="96"/>
  <c r="S15" i="96"/>
  <c r="V15" i="96" s="1"/>
  <c r="T15" i="96"/>
  <c r="S16" i="96"/>
  <c r="V16" i="96" s="1"/>
  <c r="T16" i="96"/>
  <c r="S17" i="96"/>
  <c r="T17" i="96"/>
  <c r="V17" i="96" s="1"/>
  <c r="S10" i="96"/>
  <c r="T10" i="96"/>
  <c r="V10" i="96" s="1"/>
  <c r="V9" i="96"/>
  <c r="S9" i="96"/>
  <c r="S11" i="122"/>
  <c r="T11" i="122"/>
  <c r="S12" i="122"/>
  <c r="T12" i="122"/>
  <c r="S13" i="122"/>
  <c r="T13" i="122"/>
  <c r="S14" i="122"/>
  <c r="T14" i="122"/>
  <c r="S15" i="122"/>
  <c r="T15" i="122"/>
  <c r="S16" i="122"/>
  <c r="T16" i="122"/>
  <c r="S17" i="122"/>
  <c r="T17" i="122"/>
  <c r="T10" i="122"/>
  <c r="S10" i="122"/>
  <c r="V9" i="122"/>
  <c r="S9" i="122"/>
  <c r="S28" i="118"/>
  <c r="V28" i="118" s="1"/>
  <c r="S29" i="118"/>
  <c r="V29" i="118" s="1"/>
  <c r="S28" i="117"/>
  <c r="S11" i="118"/>
  <c r="V11" i="118" s="1"/>
  <c r="T11" i="118"/>
  <c r="S12" i="118"/>
  <c r="V12" i="118" s="1"/>
  <c r="T12" i="118"/>
  <c r="S13" i="118"/>
  <c r="V13" i="118" s="1"/>
  <c r="T13" i="118"/>
  <c r="S14" i="118"/>
  <c r="V14" i="118" s="1"/>
  <c r="T14" i="118"/>
  <c r="S15" i="118"/>
  <c r="V15" i="118" s="1"/>
  <c r="T15" i="118"/>
  <c r="S17" i="118"/>
  <c r="T17" i="118"/>
  <c r="V17" i="118" s="1"/>
  <c r="T10" i="118"/>
  <c r="S10" i="118"/>
  <c r="V10" i="118" s="1"/>
  <c r="V9" i="118"/>
  <c r="S9" i="118"/>
  <c r="V57" i="86"/>
  <c r="V54" i="86"/>
  <c r="V54" i="85"/>
  <c r="V9" i="95"/>
  <c r="V11" i="94"/>
  <c r="V10" i="94"/>
  <c r="V12" i="94"/>
  <c r="V9" i="93"/>
  <c r="V9" i="92"/>
  <c r="V9" i="121"/>
  <c r="V9" i="117"/>
  <c r="V54" i="4"/>
  <c r="V57" i="4"/>
  <c r="V9" i="91"/>
  <c r="V9" i="90"/>
  <c r="V9" i="89"/>
  <c r="V8" i="15"/>
  <c r="V79" i="107"/>
  <c r="V76" i="107"/>
  <c r="V57" i="85"/>
  <c r="T56" i="85"/>
  <c r="T55" i="85"/>
  <c r="S54" i="85"/>
  <c r="S55" i="85"/>
  <c r="V55" i="85" s="1"/>
  <c r="S56" i="85"/>
  <c r="V56" i="85" s="1"/>
  <c r="S57" i="85"/>
  <c r="S53" i="85"/>
  <c r="S35" i="85"/>
  <c r="V35" i="85" s="1"/>
  <c r="T35" i="85"/>
  <c r="S36" i="85"/>
  <c r="V36" i="85" s="1"/>
  <c r="T36" i="85"/>
  <c r="S37" i="85"/>
  <c r="T37" i="85"/>
  <c r="V37" i="85" s="1"/>
  <c r="S38" i="85"/>
  <c r="V38" i="85" s="1"/>
  <c r="T38" i="85"/>
  <c r="S39" i="85"/>
  <c r="T39" i="85"/>
  <c r="V39" i="85" s="1"/>
  <c r="S40" i="85"/>
  <c r="T40" i="85"/>
  <c r="V40" i="85" s="1"/>
  <c r="S41" i="85"/>
  <c r="T41" i="85"/>
  <c r="V41" i="85" s="1"/>
  <c r="S42" i="85"/>
  <c r="T42" i="85"/>
  <c r="V42" i="85" s="1"/>
  <c r="S43" i="85"/>
  <c r="T43" i="85"/>
  <c r="V43" i="85" s="1"/>
  <c r="T34" i="85"/>
  <c r="S34" i="85"/>
  <c r="V34" i="85" s="1"/>
  <c r="T25" i="85"/>
  <c r="V25" i="85" s="1"/>
  <c r="T26" i="85"/>
  <c r="T27" i="85"/>
  <c r="T28" i="85"/>
  <c r="T29" i="85"/>
  <c r="V29" i="85" s="1"/>
  <c r="T30" i="85"/>
  <c r="V30" i="85" s="1"/>
  <c r="T24" i="85"/>
  <c r="V24" i="85" s="1"/>
  <c r="S30" i="85"/>
  <c r="S22" i="85"/>
  <c r="S23" i="85"/>
  <c r="S24" i="85"/>
  <c r="S25" i="85"/>
  <c r="S26" i="85"/>
  <c r="V26" i="85" s="1"/>
  <c r="S27" i="85"/>
  <c r="V27" i="85" s="1"/>
  <c r="S28" i="85"/>
  <c r="V28" i="85" s="1"/>
  <c r="S29" i="85"/>
  <c r="S21" i="85"/>
  <c r="S11" i="95"/>
  <c r="T11" i="95"/>
  <c r="S12" i="95"/>
  <c r="T12" i="95"/>
  <c r="S13" i="95"/>
  <c r="T13" i="95"/>
  <c r="S14" i="95"/>
  <c r="T14" i="95"/>
  <c r="S15" i="95"/>
  <c r="T15" i="95"/>
  <c r="S16" i="95"/>
  <c r="T16" i="95"/>
  <c r="T10" i="95"/>
  <c r="S10" i="95"/>
  <c r="S9" i="95"/>
  <c r="S14" i="94"/>
  <c r="T14" i="94"/>
  <c r="S15" i="94"/>
  <c r="T15" i="94"/>
  <c r="S16" i="94"/>
  <c r="T16" i="94"/>
  <c r="T13" i="94"/>
  <c r="S13" i="94"/>
  <c r="T9" i="94"/>
  <c r="S9" i="94"/>
  <c r="S11" i="94"/>
  <c r="S12" i="94"/>
  <c r="S10" i="94"/>
  <c r="S11" i="93"/>
  <c r="T11" i="93"/>
  <c r="S12" i="93"/>
  <c r="T12" i="93"/>
  <c r="S13" i="93"/>
  <c r="T13" i="93"/>
  <c r="S14" i="93"/>
  <c r="T14" i="93"/>
  <c r="S15" i="93"/>
  <c r="T15" i="93"/>
  <c r="S16" i="93"/>
  <c r="T16" i="93"/>
  <c r="T10" i="93"/>
  <c r="S10" i="93"/>
  <c r="S9" i="93"/>
  <c r="S11" i="92"/>
  <c r="T11" i="92"/>
  <c r="S12" i="92"/>
  <c r="T12" i="92"/>
  <c r="S13" i="92"/>
  <c r="T13" i="92"/>
  <c r="S14" i="92"/>
  <c r="T14" i="92"/>
  <c r="S15" i="92"/>
  <c r="T15" i="92"/>
  <c r="S16" i="92"/>
  <c r="T16" i="92"/>
  <c r="T10" i="92"/>
  <c r="S10" i="92"/>
  <c r="S9" i="92"/>
  <c r="S11" i="121"/>
  <c r="T11" i="121"/>
  <c r="S12" i="121"/>
  <c r="T12" i="121"/>
  <c r="S13" i="121"/>
  <c r="T13" i="121"/>
  <c r="S14" i="121"/>
  <c r="T14" i="121"/>
  <c r="S15" i="121"/>
  <c r="T15" i="121"/>
  <c r="S16" i="121"/>
  <c r="T16" i="121"/>
  <c r="S10" i="121"/>
  <c r="T10" i="121"/>
  <c r="S9" i="121"/>
  <c r="S9" i="117"/>
  <c r="S10" i="117"/>
  <c r="T10" i="117"/>
  <c r="S11" i="117"/>
  <c r="T11" i="117"/>
  <c r="S12" i="117"/>
  <c r="T12" i="117"/>
  <c r="S13" i="117"/>
  <c r="T13" i="117"/>
  <c r="S14" i="117"/>
  <c r="T14" i="117"/>
  <c r="T78" i="107"/>
  <c r="T77" i="107"/>
  <c r="S76" i="107"/>
  <c r="S77" i="107"/>
  <c r="V77" i="107" s="1"/>
  <c r="S78" i="107"/>
  <c r="V78" i="107" s="1"/>
  <c r="S79" i="107"/>
  <c r="S75" i="107"/>
  <c r="T63" i="107"/>
  <c r="V63" i="107" s="1"/>
  <c r="S63" i="107"/>
  <c r="T62" i="107"/>
  <c r="V62" i="107" s="1"/>
  <c r="S62" i="107"/>
  <c r="T61" i="107"/>
  <c r="V61" i="107" s="1"/>
  <c r="S61" i="107"/>
  <c r="T60" i="107"/>
  <c r="V60" i="107" s="1"/>
  <c r="S60" i="107"/>
  <c r="T59" i="107"/>
  <c r="V59" i="107" s="1"/>
  <c r="S59" i="107"/>
  <c r="T58" i="107"/>
  <c r="S58" i="107"/>
  <c r="V58" i="107" s="1"/>
  <c r="T57" i="107"/>
  <c r="V57" i="107" s="1"/>
  <c r="S57" i="107"/>
  <c r="T56" i="107"/>
  <c r="S56" i="107"/>
  <c r="V56" i="107" s="1"/>
  <c r="T55" i="107"/>
  <c r="S55" i="107"/>
  <c r="V55" i="107" s="1"/>
  <c r="T54" i="107"/>
  <c r="S54" i="107"/>
  <c r="V54" i="107" s="1"/>
  <c r="S47" i="107"/>
  <c r="T47" i="107"/>
  <c r="V47" i="107" s="1"/>
  <c r="S48" i="107"/>
  <c r="T48" i="107"/>
  <c r="V48" i="107" s="1"/>
  <c r="S49" i="107"/>
  <c r="T49" i="107"/>
  <c r="V49" i="107" s="1"/>
  <c r="S50" i="107"/>
  <c r="T50" i="107"/>
  <c r="V50" i="107" s="1"/>
  <c r="S42" i="107"/>
  <c r="T42" i="107"/>
  <c r="V42" i="107" s="1"/>
  <c r="S43" i="107"/>
  <c r="V43" i="107" s="1"/>
  <c r="T43" i="107"/>
  <c r="S44" i="107"/>
  <c r="V44" i="107" s="1"/>
  <c r="T44" i="107"/>
  <c r="S45" i="107"/>
  <c r="V45" i="107" s="1"/>
  <c r="T45" i="107"/>
  <c r="S46" i="107"/>
  <c r="T46" i="107"/>
  <c r="V46" i="107" s="1"/>
  <c r="T41" i="107"/>
  <c r="V41" i="107" s="1"/>
  <c r="S41" i="107"/>
  <c r="T56" i="4"/>
  <c r="T55" i="4"/>
  <c r="S55" i="4"/>
  <c r="S54" i="4"/>
  <c r="S56" i="4"/>
  <c r="S57" i="4"/>
  <c r="S53" i="4"/>
  <c r="S21" i="4"/>
  <c r="S22" i="4"/>
  <c r="S23" i="4"/>
  <c r="S25" i="4"/>
  <c r="T25" i="4"/>
  <c r="S26" i="4"/>
  <c r="T26" i="4"/>
  <c r="S27" i="4"/>
  <c r="T27" i="4"/>
  <c r="S28" i="4"/>
  <c r="T28" i="4"/>
  <c r="S29" i="4"/>
  <c r="T29" i="4"/>
  <c r="S30" i="4"/>
  <c r="T30" i="4"/>
  <c r="T24" i="4"/>
  <c r="S24" i="4"/>
  <c r="S9" i="91"/>
  <c r="S11" i="91"/>
  <c r="T11" i="91"/>
  <c r="S12" i="91"/>
  <c r="T12" i="91"/>
  <c r="S13" i="91"/>
  <c r="T13" i="91"/>
  <c r="S14" i="91"/>
  <c r="T14" i="91"/>
  <c r="S15" i="91"/>
  <c r="T15" i="91"/>
  <c r="S16" i="91"/>
  <c r="T16" i="91"/>
  <c r="S17" i="91"/>
  <c r="T17" i="91"/>
  <c r="T10" i="91"/>
  <c r="S10" i="91"/>
  <c r="S9" i="90"/>
  <c r="S11" i="90"/>
  <c r="V11" i="90" s="1"/>
  <c r="T11" i="90"/>
  <c r="S12" i="90"/>
  <c r="T12" i="90"/>
  <c r="S13" i="90"/>
  <c r="V13" i="90" s="1"/>
  <c r="T13" i="90"/>
  <c r="S14" i="90"/>
  <c r="V14" i="90" s="1"/>
  <c r="T14" i="90"/>
  <c r="S15" i="90"/>
  <c r="V15" i="90" s="1"/>
  <c r="T15" i="90"/>
  <c r="S16" i="90"/>
  <c r="T16" i="90"/>
  <c r="V16" i="90" s="1"/>
  <c r="S17" i="90"/>
  <c r="T17" i="90"/>
  <c r="V17" i="90" s="1"/>
  <c r="T10" i="90"/>
  <c r="V10" i="90" s="1"/>
  <c r="S10" i="90"/>
  <c r="S9" i="89"/>
  <c r="S11" i="89"/>
  <c r="T11" i="89"/>
  <c r="S12" i="89"/>
  <c r="T12" i="89"/>
  <c r="S13" i="89"/>
  <c r="T13" i="89"/>
  <c r="S14" i="89"/>
  <c r="T14" i="89"/>
  <c r="S15" i="89"/>
  <c r="T15" i="89"/>
  <c r="S16" i="89"/>
  <c r="T16" i="89"/>
  <c r="S17" i="89"/>
  <c r="T17" i="89"/>
  <c r="T10" i="89"/>
  <c r="S10" i="89"/>
  <c r="T10" i="15"/>
  <c r="T11" i="15"/>
  <c r="T12" i="15"/>
  <c r="T13" i="15"/>
  <c r="T14" i="15"/>
  <c r="T15" i="15"/>
  <c r="T17" i="15"/>
  <c r="T9" i="15"/>
  <c r="S9" i="15"/>
  <c r="S10" i="15"/>
  <c r="S11" i="15"/>
  <c r="S12" i="15"/>
  <c r="S13" i="15"/>
  <c r="S14" i="15"/>
  <c r="S15" i="15"/>
  <c r="S17" i="15"/>
  <c r="S8" i="15"/>
  <c r="N28" i="15" l="1"/>
  <c r="T58" i="86" l="1"/>
  <c r="V58" i="86" s="1"/>
  <c r="S58" i="86"/>
  <c r="S57" i="86"/>
  <c r="T56" i="86"/>
  <c r="S56" i="86"/>
  <c r="V56" i="86" s="1"/>
  <c r="T55" i="86"/>
  <c r="S55" i="86"/>
  <c r="V55" i="86" s="1"/>
  <c r="S54" i="86"/>
  <c r="S53" i="86"/>
  <c r="T30" i="86"/>
  <c r="V30" i="86" s="1"/>
  <c r="S30" i="86"/>
  <c r="T29" i="86"/>
  <c r="V29" i="86" s="1"/>
  <c r="S29" i="86"/>
  <c r="T28" i="86"/>
  <c r="V28" i="86" s="1"/>
  <c r="S28" i="86"/>
  <c r="T27" i="86"/>
  <c r="V27" i="86" s="1"/>
  <c r="S27" i="86"/>
  <c r="T26" i="86"/>
  <c r="S26" i="86"/>
  <c r="V26" i="86" s="1"/>
  <c r="T25" i="86"/>
  <c r="S25" i="86"/>
  <c r="V25" i="86" s="1"/>
  <c r="T24" i="86"/>
  <c r="S24" i="86"/>
  <c r="V24" i="86" s="1"/>
  <c r="T23" i="86"/>
  <c r="V23" i="86" s="1"/>
  <c r="S23" i="86"/>
  <c r="T22" i="86"/>
  <c r="V22" i="86" s="1"/>
  <c r="S22" i="86"/>
  <c r="S21" i="86"/>
  <c r="T17" i="101"/>
  <c r="S17" i="101"/>
  <c r="T15" i="101"/>
  <c r="S15" i="101"/>
  <c r="T14" i="101"/>
  <c r="S14" i="101"/>
  <c r="T13" i="101"/>
  <c r="S13" i="101"/>
  <c r="T12" i="101"/>
  <c r="S12" i="101"/>
  <c r="T11" i="101"/>
  <c r="S11" i="101"/>
  <c r="T10" i="101"/>
  <c r="S10" i="101"/>
  <c r="T9" i="101"/>
  <c r="S9" i="101"/>
  <c r="S8" i="101"/>
  <c r="T70" i="87"/>
  <c r="V70" i="87" s="1"/>
  <c r="S70" i="87"/>
  <c r="S69" i="87"/>
  <c r="T68" i="87"/>
  <c r="S68" i="87"/>
  <c r="V68" i="87" s="1"/>
  <c r="T67" i="87"/>
  <c r="S67" i="87"/>
  <c r="V67" i="87" s="1"/>
  <c r="S66" i="87"/>
  <c r="S65" i="87"/>
  <c r="T43" i="87"/>
  <c r="V43" i="87" s="1"/>
  <c r="S43" i="87"/>
  <c r="T42" i="87"/>
  <c r="V42" i="87" s="1"/>
  <c r="S42" i="87"/>
  <c r="T41" i="87"/>
  <c r="V41" i="87" s="1"/>
  <c r="S41" i="87"/>
  <c r="T40" i="87"/>
  <c r="V40" i="87" s="1"/>
  <c r="S40" i="87"/>
  <c r="T39" i="87"/>
  <c r="S39" i="87"/>
  <c r="V39" i="87" s="1"/>
  <c r="T38" i="87"/>
  <c r="S38" i="87"/>
  <c r="V38" i="87" s="1"/>
  <c r="T37" i="87"/>
  <c r="S37" i="87"/>
  <c r="V37" i="87" s="1"/>
  <c r="T36" i="87"/>
  <c r="S36" i="87"/>
  <c r="V36" i="87" s="1"/>
  <c r="T35" i="87"/>
  <c r="S35" i="87"/>
  <c r="V35" i="87" s="1"/>
  <c r="T34" i="87"/>
  <c r="S34" i="87"/>
  <c r="V34" i="87" s="1"/>
  <c r="T30" i="87"/>
  <c r="V30" i="87" s="1"/>
  <c r="S30" i="87"/>
  <c r="T29" i="87"/>
  <c r="V29" i="87" s="1"/>
  <c r="S29" i="87"/>
  <c r="T28" i="87"/>
  <c r="V28" i="87" s="1"/>
  <c r="S28" i="87"/>
  <c r="T27" i="87"/>
  <c r="V27" i="87" s="1"/>
  <c r="S27" i="87"/>
  <c r="T26" i="87"/>
  <c r="S26" i="87"/>
  <c r="V26" i="87" s="1"/>
  <c r="T25" i="87"/>
  <c r="S25" i="87"/>
  <c r="V25" i="87" s="1"/>
  <c r="T24" i="87"/>
  <c r="S24" i="87"/>
  <c r="V24" i="87" s="1"/>
  <c r="T23" i="87"/>
  <c r="V23" i="87" s="1"/>
  <c r="S23" i="87"/>
  <c r="T22" i="87"/>
  <c r="V22" i="87" s="1"/>
  <c r="S22" i="87"/>
  <c r="S21" i="87"/>
  <c r="T17" i="120"/>
  <c r="S17" i="120"/>
  <c r="T15" i="120"/>
  <c r="S15" i="120"/>
  <c r="T14" i="120"/>
  <c r="S14" i="120"/>
  <c r="T13" i="120"/>
  <c r="S13" i="120"/>
  <c r="T12" i="120"/>
  <c r="S12" i="120"/>
  <c r="T11" i="120"/>
  <c r="S11" i="120"/>
  <c r="T10" i="120"/>
  <c r="S10" i="120"/>
  <c r="T9" i="120"/>
  <c r="S9" i="120"/>
  <c r="S11" i="112"/>
  <c r="V11" i="112" s="1"/>
  <c r="T11" i="112"/>
  <c r="S12" i="112"/>
  <c r="V12" i="112" s="1"/>
  <c r="T12" i="112"/>
  <c r="S13" i="112"/>
  <c r="V13" i="112" s="1"/>
  <c r="T13" i="112"/>
  <c r="S14" i="112"/>
  <c r="V14" i="112" s="1"/>
  <c r="T14" i="112"/>
  <c r="S15" i="112"/>
  <c r="V15" i="112" s="1"/>
  <c r="T15" i="112"/>
  <c r="S16" i="112"/>
  <c r="V16" i="112" s="1"/>
  <c r="T16" i="112"/>
  <c r="S17" i="112"/>
  <c r="T17" i="112"/>
  <c r="V17" i="112" s="1"/>
  <c r="S31" i="116"/>
  <c r="S30" i="116"/>
  <c r="S26" i="114"/>
  <c r="T26" i="114"/>
  <c r="V26" i="114" s="1"/>
  <c r="S27" i="114"/>
  <c r="T27" i="114"/>
  <c r="V27" i="114" s="1"/>
  <c r="S28" i="114"/>
  <c r="T28" i="114"/>
  <c r="V28" i="114" s="1"/>
  <c r="S29" i="114"/>
  <c r="T29" i="114"/>
  <c r="V29" i="114" s="1"/>
  <c r="S55" i="114"/>
  <c r="T55" i="114"/>
  <c r="V55" i="114" s="1"/>
  <c r="T53" i="114"/>
  <c r="S53" i="114"/>
  <c r="V53" i="114" s="1"/>
  <c r="T52" i="114"/>
  <c r="S52" i="114"/>
  <c r="V52" i="114" s="1"/>
  <c r="S54" i="114"/>
  <c r="S51" i="114"/>
  <c r="S50" i="114"/>
  <c r="S20" i="114"/>
  <c r="T25" i="114"/>
  <c r="S25" i="114"/>
  <c r="V25" i="114" s="1"/>
  <c r="T24" i="114"/>
  <c r="S24" i="114"/>
  <c r="V24" i="114" s="1"/>
  <c r="T23" i="114"/>
  <c r="S23" i="114"/>
  <c r="V23" i="114" s="1"/>
  <c r="T22" i="114"/>
  <c r="V22" i="114" s="1"/>
  <c r="S22" i="114"/>
  <c r="T21" i="114"/>
  <c r="V21" i="114" s="1"/>
  <c r="S21" i="114"/>
  <c r="S33" i="114"/>
  <c r="V33" i="114" s="1"/>
  <c r="T33" i="114"/>
  <c r="S34" i="114"/>
  <c r="V34" i="114" s="1"/>
  <c r="T34" i="114"/>
  <c r="S35" i="114"/>
  <c r="V35" i="114" s="1"/>
  <c r="T35" i="114"/>
  <c r="S36" i="114"/>
  <c r="V36" i="114" s="1"/>
  <c r="T36" i="114"/>
  <c r="S37" i="114"/>
  <c r="T37" i="114"/>
  <c r="V37" i="114" s="1"/>
  <c r="S38" i="114"/>
  <c r="T38" i="114"/>
  <c r="V38" i="114" s="1"/>
  <c r="S39" i="114"/>
  <c r="T39" i="114"/>
  <c r="V39" i="114" s="1"/>
  <c r="S40" i="114"/>
  <c r="T40" i="114"/>
  <c r="V40" i="114" s="1"/>
  <c r="S41" i="114"/>
  <c r="T41" i="114"/>
  <c r="V41" i="114" s="1"/>
  <c r="T32" i="114"/>
  <c r="S32" i="114"/>
  <c r="V32" i="114" s="1"/>
  <c r="E52" i="103"/>
  <c r="E107" i="87"/>
  <c r="E105" i="87"/>
  <c r="N28" i="90"/>
  <c r="E84" i="107"/>
  <c r="E86" i="87" l="1"/>
  <c r="N86" i="87" s="1"/>
  <c r="E80" i="87"/>
  <c r="E87" i="87"/>
  <c r="N87" i="87" s="1"/>
  <c r="E74" i="87"/>
  <c r="N74" i="87" s="1"/>
  <c r="N84" i="107"/>
  <c r="V84" i="107"/>
  <c r="V28" i="90"/>
  <c r="N29" i="103"/>
  <c r="N38" i="103"/>
  <c r="N43" i="103"/>
  <c r="N30" i="103"/>
  <c r="V29" i="112"/>
  <c r="V30" i="112"/>
  <c r="V81" i="87"/>
  <c r="V82" i="87"/>
  <c r="V54" i="87"/>
  <c r="V55" i="87"/>
  <c r="V53" i="87"/>
  <c r="N80" i="87"/>
  <c r="V58" i="87"/>
  <c r="C29" i="37" a="1"/>
  <c r="C29" i="37" s="1"/>
  <c r="C30" i="37" a="1"/>
  <c r="C30" i="37" s="1"/>
  <c r="D22" i="37"/>
  <c r="C26" i="37" a="1"/>
  <c r="C26" i="37" s="1"/>
  <c r="C28" i="37" a="1"/>
  <c r="C28" i="37" s="1"/>
  <c r="J5" i="115"/>
  <c r="K5" i="115" s="1"/>
  <c r="F4" i="115"/>
  <c r="H4" i="115" s="1"/>
  <c r="J4" i="39"/>
  <c r="I3" i="39"/>
  <c r="F3" i="39"/>
  <c r="H3" i="39" s="1"/>
  <c r="E3" i="39"/>
  <c r="J4" i="70"/>
  <c r="J3" i="70" s="1"/>
  <c r="F3" i="70"/>
  <c r="G3" i="70"/>
  <c r="E70" i="37"/>
  <c r="L32" i="68" a="1"/>
  <c r="L32" i="68" s="1"/>
  <c r="L31" i="68" a="1"/>
  <c r="L31" i="68" s="1"/>
  <c r="L27" i="68" a="1"/>
  <c r="L27" i="68" s="1"/>
  <c r="L10" i="68" a="1"/>
  <c r="L10" i="68" s="1"/>
  <c r="L9" i="68" a="1"/>
  <c r="L9" i="68" s="1"/>
  <c r="L5" i="68" a="1"/>
  <c r="L5" i="68" s="1"/>
  <c r="L10" i="39" a="1"/>
  <c r="L10" i="39" s="1"/>
  <c r="L9" i="39" a="1"/>
  <c r="L9" i="39" s="1"/>
  <c r="L5" i="39" a="1"/>
  <c r="L5" i="39" s="1"/>
  <c r="J3" i="39" l="1"/>
  <c r="K3" i="39" s="1"/>
  <c r="V86" i="87"/>
  <c r="K4" i="70"/>
  <c r="K4" i="39"/>
  <c r="J4" i="115"/>
  <c r="K4" i="115" s="1"/>
  <c r="V80" i="87"/>
  <c r="V87" i="87"/>
  <c r="V74" i="87"/>
  <c r="H3" i="70"/>
  <c r="K3" i="70" s="1"/>
  <c r="V85" i="87" l="1"/>
  <c r="D134" i="37"/>
  <c r="D126" i="37"/>
  <c r="E80" i="4"/>
  <c r="E61" i="4" l="1"/>
  <c r="N61" i="4" l="1"/>
  <c r="V61" i="4"/>
  <c r="O16" i="69"/>
  <c r="Q12" i="69"/>
  <c r="P12" i="69"/>
  <c r="O12" i="69"/>
  <c r="Q11" i="69"/>
  <c r="P11" i="69"/>
  <c r="O11" i="69"/>
  <c r="Q10" i="69"/>
  <c r="P10" i="69"/>
  <c r="O10" i="69"/>
  <c r="Q9" i="69"/>
  <c r="P9" i="69"/>
  <c r="O9" i="69"/>
  <c r="P8" i="69"/>
  <c r="O8" i="69"/>
  <c r="Q8" i="69"/>
  <c r="Q7" i="69"/>
  <c r="P7" i="69"/>
  <c r="O7" i="69"/>
  <c r="Q3" i="69"/>
  <c r="P3" i="69"/>
  <c r="C25" i="128" l="1"/>
  <c r="P43" i="66" l="1"/>
  <c r="Q43" i="66"/>
  <c r="O43" i="66"/>
  <c r="P15" i="66"/>
  <c r="Q15" i="66"/>
  <c r="O15" i="66"/>
  <c r="P9" i="66"/>
  <c r="Q9" i="66"/>
  <c r="O9" i="66"/>
  <c r="E108" i="107" l="1"/>
  <c r="E107" i="107"/>
  <c r="E111" i="107"/>
  <c r="E47" i="37"/>
  <c r="V75" i="107" l="1"/>
  <c r="V50" i="114"/>
  <c r="V20" i="114"/>
  <c r="V53" i="4"/>
  <c r="V23" i="4"/>
  <c r="V65" i="87"/>
  <c r="V22" i="4"/>
  <c r="V21" i="87"/>
  <c r="V53" i="86"/>
  <c r="V21" i="4"/>
  <c r="V21" i="86"/>
  <c r="E37" i="107"/>
  <c r="N37" i="107" s="1"/>
  <c r="E29" i="107"/>
  <c r="N29" i="107" s="1"/>
  <c r="E25" i="107"/>
  <c r="N25" i="107" s="1"/>
  <c r="E21" i="107"/>
  <c r="N21" i="107" s="1"/>
  <c r="L41" i="66"/>
  <c r="L40" i="66"/>
  <c r="L24" i="66"/>
  <c r="L23" i="66"/>
  <c r="L7" i="66"/>
  <c r="L6" i="66"/>
  <c r="V25" i="107" l="1"/>
  <c r="V21" i="107"/>
  <c r="V29" i="107"/>
  <c r="V37" i="107"/>
  <c r="P6" i="66"/>
  <c r="Q6" i="66"/>
  <c r="P7" i="66"/>
  <c r="Q7" i="66"/>
  <c r="P8" i="66"/>
  <c r="Q8" i="66"/>
  <c r="P10" i="66"/>
  <c r="Q10" i="66"/>
  <c r="P11" i="66"/>
  <c r="Q11" i="66"/>
  <c r="O11" i="66"/>
  <c r="O10" i="66"/>
  <c r="O8" i="66"/>
  <c r="O7" i="66"/>
  <c r="O6" i="66"/>
  <c r="Q49" i="66" l="1"/>
  <c r="P49" i="66"/>
  <c r="O49" i="66"/>
  <c r="Q45" i="66"/>
  <c r="P45" i="66"/>
  <c r="O45" i="66"/>
  <c r="Q44" i="66"/>
  <c r="P44" i="66"/>
  <c r="O44" i="66"/>
  <c r="Q42" i="66"/>
  <c r="P42" i="66"/>
  <c r="O42" i="66"/>
  <c r="Q41" i="66"/>
  <c r="P41" i="66"/>
  <c r="O41" i="66"/>
  <c r="Q40" i="66"/>
  <c r="P40" i="66"/>
  <c r="O40" i="66"/>
  <c r="Q32" i="66"/>
  <c r="P32" i="66"/>
  <c r="O32" i="66"/>
  <c r="Q28" i="66"/>
  <c r="P28" i="66"/>
  <c r="O28" i="66"/>
  <c r="Q27" i="66"/>
  <c r="P27" i="66"/>
  <c r="O27" i="66"/>
  <c r="Q26" i="66"/>
  <c r="P26" i="66"/>
  <c r="O26" i="66"/>
  <c r="Q25" i="66"/>
  <c r="P25" i="66"/>
  <c r="O25" i="66"/>
  <c r="Q24" i="66"/>
  <c r="P24" i="66"/>
  <c r="O24" i="66"/>
  <c r="Q23" i="66"/>
  <c r="P23" i="66"/>
  <c r="O23" i="66"/>
  <c r="E35" i="117"/>
  <c r="L8" i="69"/>
  <c r="L7" i="69"/>
  <c r="L3" i="69"/>
  <c r="S29" i="120" l="1"/>
  <c r="S27" i="120"/>
  <c r="E35" i="120"/>
  <c r="S27" i="118"/>
  <c r="V27" i="118" s="1"/>
  <c r="E35" i="118"/>
  <c r="V35" i="118" l="1"/>
  <c r="D113" i="71"/>
  <c r="D97" i="71"/>
  <c r="D81" i="71"/>
  <c r="D65" i="71"/>
  <c r="C13" i="128" l="1"/>
  <c r="P16" i="69" l="1"/>
  <c r="Q16" i="69"/>
  <c r="D25" i="128" l="1"/>
  <c r="B6" i="8" a="1"/>
  <c r="B6" i="8" l="1"/>
  <c r="C25" i="37" l="1"/>
  <c r="C6" i="128"/>
  <c r="B23" i="107"/>
  <c r="D24" i="66"/>
  <c r="D7" i="66"/>
  <c r="B19" i="107" l="1"/>
  <c r="V40" i="107"/>
  <c r="G57" i="66" l="1"/>
  <c r="H57" i="66" s="1"/>
  <c r="K57" i="66" s="1"/>
  <c r="M57" i="66" s="1"/>
  <c r="V36" i="107"/>
  <c r="G74" i="66" l="1"/>
  <c r="H74" i="66" s="1"/>
  <c r="V53" i="107" l="1"/>
  <c r="G58" i="66" l="1"/>
  <c r="H58" i="66" s="1"/>
  <c r="K58" i="66" s="1"/>
  <c r="M58" i="66" s="1"/>
  <c r="G41" i="66"/>
  <c r="G24" i="66"/>
  <c r="H24" i="66" s="1"/>
  <c r="G75" i="66"/>
  <c r="H75" i="66" s="1"/>
  <c r="G7" i="66"/>
  <c r="H7" i="66" s="1"/>
  <c r="V20" i="107"/>
  <c r="O9" i="107"/>
  <c r="E57" i="66" l="1"/>
  <c r="E66" i="66" s="1"/>
  <c r="E6" i="66"/>
  <c r="E15" i="66" s="1"/>
  <c r="I74" i="66"/>
  <c r="J74" i="66" s="1"/>
  <c r="K75" i="66" s="1"/>
  <c r="M75" i="66" s="1"/>
  <c r="I6" i="66"/>
  <c r="J6" i="66" s="1"/>
  <c r="K7" i="66" s="1"/>
  <c r="M7" i="66" s="1"/>
  <c r="I23" i="66"/>
  <c r="J23" i="66" s="1"/>
  <c r="K24" i="66" s="1"/>
  <c r="M24" i="66" s="1"/>
  <c r="G6" i="66"/>
  <c r="H6" i="66" s="1"/>
  <c r="E23" i="66"/>
  <c r="E32" i="66" s="1"/>
  <c r="E74" i="66"/>
  <c r="E83" i="66" s="1"/>
  <c r="V24" i="107"/>
  <c r="E80" i="85"/>
  <c r="D129" i="37" a="1"/>
  <c r="E61" i="85" l="1"/>
  <c r="E62" i="85"/>
  <c r="K6" i="66"/>
  <c r="M6" i="66" s="1"/>
  <c r="G23" i="66"/>
  <c r="K74" i="66"/>
  <c r="M74" i="66" s="1"/>
  <c r="D129" i="37"/>
  <c r="E80" i="86"/>
  <c r="H23" i="66" l="1"/>
  <c r="K23" i="66" s="1"/>
  <c r="M23" i="66" s="1"/>
  <c r="E69" i="114"/>
  <c r="N69" i="114" s="1"/>
  <c r="E68" i="114"/>
  <c r="N68" i="114" s="1"/>
  <c r="E61" i="86"/>
  <c r="N61" i="86" s="1"/>
  <c r="E62" i="86"/>
  <c r="N62" i="86" s="1"/>
  <c r="N61" i="85"/>
  <c r="N62" i="85"/>
  <c r="V61" i="85"/>
  <c r="V62" i="85"/>
  <c r="D32" i="68"/>
  <c r="D27" i="68"/>
  <c r="D10" i="68"/>
  <c r="D5" i="68"/>
  <c r="D10" i="39"/>
  <c r="B32" i="86" s="1"/>
  <c r="B19" i="86"/>
  <c r="D5" i="39"/>
  <c r="D10" i="70"/>
  <c r="B32" i="85" s="1"/>
  <c r="B19" i="85"/>
  <c r="D8" i="69"/>
  <c r="D41" i="66"/>
  <c r="B52" i="107" s="1"/>
  <c r="B2" i="104" l="1"/>
  <c r="B2" i="103"/>
  <c r="B2" i="102"/>
  <c r="B2" i="101"/>
  <c r="B32" i="4"/>
  <c r="B19" i="87"/>
  <c r="B2" i="95"/>
  <c r="B2" i="94"/>
  <c r="B2" i="93"/>
  <c r="B2" i="92"/>
  <c r="B32" i="87"/>
  <c r="B19" i="132"/>
  <c r="B19" i="4"/>
  <c r="B27" i="107"/>
  <c r="B39" i="107"/>
  <c r="B2" i="97"/>
  <c r="B2" i="96"/>
  <c r="B2" i="100"/>
  <c r="B2" i="99"/>
  <c r="V69" i="114"/>
  <c r="V61" i="86"/>
  <c r="V68" i="114"/>
  <c r="V62" i="86"/>
  <c r="C11" i="128" a="1"/>
  <c r="C11" i="128" s="1"/>
  <c r="V67" i="114" l="1"/>
  <c r="C15" i="128"/>
  <c r="C8" i="128"/>
  <c r="E59" i="37" l="1"/>
  <c r="V39" i="120" l="1"/>
  <c r="G4" i="115" s="1"/>
  <c r="S35" i="117" l="1"/>
  <c r="S29" i="117" l="1"/>
  <c r="S27" i="117"/>
  <c r="L15" i="141" l="1"/>
  <c r="M15" i="141" s="1"/>
  <c r="L63" i="66"/>
  <c r="M63" i="66" s="1"/>
  <c r="L15" i="133"/>
  <c r="M15" i="133" s="1"/>
  <c r="L15" i="39"/>
  <c r="L46" i="66"/>
  <c r="L18" i="115"/>
  <c r="L15" i="70"/>
  <c r="L29" i="66"/>
  <c r="L37" i="68"/>
  <c r="L13" i="69"/>
  <c r="L12" i="66"/>
  <c r="L15" i="68"/>
  <c r="L80" i="66"/>
  <c r="V39" i="118"/>
  <c r="G3" i="39" s="1"/>
  <c r="V28" i="107" l="1"/>
  <c r="I7" i="115"/>
  <c r="I10" i="115"/>
  <c r="J10" i="115" s="1"/>
  <c r="V80" i="114"/>
  <c r="G17" i="115" s="1"/>
  <c r="V31" i="114"/>
  <c r="G11" i="115" s="1"/>
  <c r="V66" i="107"/>
  <c r="O20" i="116"/>
  <c r="I8" i="115"/>
  <c r="O20" i="110"/>
  <c r="O20" i="112"/>
  <c r="E8" i="115" s="1"/>
  <c r="G59" i="66" l="1"/>
  <c r="H59" i="66" s="1"/>
  <c r="K59" i="66" s="1"/>
  <c r="M59" i="66" s="1"/>
  <c r="K14" i="115"/>
  <c r="M14" i="115" s="1"/>
  <c r="K16" i="115"/>
  <c r="M16" i="115" s="1"/>
  <c r="E9" i="115"/>
  <c r="I9" i="115"/>
  <c r="E6" i="115"/>
  <c r="I6" i="115"/>
  <c r="G40" i="66"/>
  <c r="G42" i="66"/>
  <c r="G25" i="66"/>
  <c r="G8" i="66"/>
  <c r="G76" i="66"/>
  <c r="V36" i="112"/>
  <c r="G8" i="115" s="1"/>
  <c r="V33" i="111"/>
  <c r="G7" i="115" s="1"/>
  <c r="V19" i="114"/>
  <c r="V33" i="110"/>
  <c r="G6" i="115" s="1"/>
  <c r="V46" i="103"/>
  <c r="V33" i="123"/>
  <c r="G5" i="115" s="1"/>
  <c r="V33" i="122"/>
  <c r="G4" i="39" s="1"/>
  <c r="V33" i="116"/>
  <c r="G9" i="115" s="1"/>
  <c r="V23" i="85"/>
  <c r="V22" i="85"/>
  <c r="V33" i="121"/>
  <c r="G4" i="70" s="1"/>
  <c r="V21" i="85"/>
  <c r="V53" i="85"/>
  <c r="C4" i="128"/>
  <c r="G15" i="115"/>
  <c r="H15" i="115" s="1"/>
  <c r="K15" i="115" s="1"/>
  <c r="M15" i="115" s="1"/>
  <c r="V43" i="114"/>
  <c r="G12" i="115" s="1"/>
  <c r="V46" i="87"/>
  <c r="V52" i="87"/>
  <c r="G10" i="115" l="1"/>
  <c r="H8" i="66"/>
  <c r="K8" i="66" s="1"/>
  <c r="M8" i="66" s="1"/>
  <c r="H25" i="66"/>
  <c r="K25" i="66" s="1"/>
  <c r="M25" i="66" s="1"/>
  <c r="H76" i="66"/>
  <c r="K76" i="66" s="1"/>
  <c r="M76" i="66" s="1"/>
  <c r="G11" i="68"/>
  <c r="V47" i="103"/>
  <c r="V45" i="85"/>
  <c r="G11" i="70" s="1"/>
  <c r="G33" i="68"/>
  <c r="H33" i="68" s="1"/>
  <c r="V49" i="114"/>
  <c r="V90" i="114" s="1"/>
  <c r="G29" i="68" l="1"/>
  <c r="G13" i="115"/>
  <c r="S29" i="96" l="1"/>
  <c r="V29" i="96" s="1"/>
  <c r="V45" i="86" l="1"/>
  <c r="G11" i="39" s="1"/>
  <c r="S92" i="107" l="1"/>
  <c r="V92" i="107" s="1"/>
  <c r="S28" i="96"/>
  <c r="V28" i="96" s="1"/>
  <c r="S31" i="94"/>
  <c r="S28" i="93"/>
  <c r="S28" i="92"/>
  <c r="S28" i="91"/>
  <c r="S27" i="91"/>
  <c r="S29" i="90"/>
  <c r="V29" i="90" s="1"/>
  <c r="S28" i="89"/>
  <c r="S27" i="89"/>
  <c r="V33" i="85"/>
  <c r="V33" i="93" l="1"/>
  <c r="G6" i="70" s="1"/>
  <c r="V64" i="87"/>
  <c r="V52" i="86"/>
  <c r="G12" i="39" s="1"/>
  <c r="V52" i="85"/>
  <c r="V33" i="100"/>
  <c r="G8" i="39" s="1"/>
  <c r="V36" i="99"/>
  <c r="G7" i="39" s="1"/>
  <c r="V20" i="86"/>
  <c r="O20" i="96"/>
  <c r="V33" i="104"/>
  <c r="V33" i="102"/>
  <c r="V91" i="107"/>
  <c r="G62" i="66" s="1"/>
  <c r="H62" i="66" s="1"/>
  <c r="K62" i="66" s="1"/>
  <c r="M62" i="66" s="1"/>
  <c r="V74" i="107"/>
  <c r="I40" i="66"/>
  <c r="J40" i="66" s="1"/>
  <c r="V33" i="101"/>
  <c r="V33" i="97"/>
  <c r="G6" i="39" s="1"/>
  <c r="V33" i="96"/>
  <c r="V33" i="95"/>
  <c r="G8" i="70" s="1"/>
  <c r="V36" i="94"/>
  <c r="G7" i="70" s="1"/>
  <c r="V33" i="92"/>
  <c r="G5" i="70" s="1"/>
  <c r="V33" i="91"/>
  <c r="V34" i="90"/>
  <c r="K7" i="141" s="1"/>
  <c r="M4" i="141" s="1"/>
  <c r="O20" i="90"/>
  <c r="V33" i="89"/>
  <c r="V79" i="87"/>
  <c r="V20" i="87"/>
  <c r="V33" i="87"/>
  <c r="V73" i="87"/>
  <c r="V91" i="87"/>
  <c r="V33" i="86"/>
  <c r="G10" i="39" s="1"/>
  <c r="V67" i="86"/>
  <c r="G14" i="39" s="1"/>
  <c r="O9" i="86"/>
  <c r="E9" i="39" s="1"/>
  <c r="V60" i="86"/>
  <c r="G13" i="39" s="1"/>
  <c r="V67" i="85"/>
  <c r="G14" i="70" s="1"/>
  <c r="G10" i="70"/>
  <c r="O9" i="85"/>
  <c r="E9" i="70" s="1"/>
  <c r="V77" i="86" l="1"/>
  <c r="G60" i="66"/>
  <c r="H60" i="66" s="1"/>
  <c r="K60" i="66" s="1"/>
  <c r="M60" i="66" s="1"/>
  <c r="V102" i="87"/>
  <c r="V101" i="87"/>
  <c r="G6" i="133"/>
  <c r="G6" i="69"/>
  <c r="G4" i="69"/>
  <c r="G4" i="133"/>
  <c r="G5" i="69"/>
  <c r="G5" i="133"/>
  <c r="I9" i="70"/>
  <c r="J9" i="70" s="1"/>
  <c r="I9" i="39"/>
  <c r="G14" i="68"/>
  <c r="I5" i="69"/>
  <c r="I5" i="133"/>
  <c r="E5" i="69"/>
  <c r="E5" i="133"/>
  <c r="G45" i="66"/>
  <c r="G28" i="66"/>
  <c r="G79" i="66"/>
  <c r="G11" i="66"/>
  <c r="I9" i="68"/>
  <c r="J9" i="68" s="1"/>
  <c r="G77" i="66"/>
  <c r="G43" i="66"/>
  <c r="G26" i="66"/>
  <c r="G9" i="66"/>
  <c r="G12" i="68"/>
  <c r="G12" i="70"/>
  <c r="I5" i="39"/>
  <c r="G5" i="39"/>
  <c r="E5" i="39"/>
  <c r="G9" i="39"/>
  <c r="G35" i="68"/>
  <c r="E40" i="66"/>
  <c r="E49" i="66" s="1"/>
  <c r="H42" i="66"/>
  <c r="G13" i="68"/>
  <c r="G34" i="68"/>
  <c r="G7" i="68"/>
  <c r="G6" i="68"/>
  <c r="G28" i="68"/>
  <c r="G10" i="68"/>
  <c r="G32" i="68"/>
  <c r="G9" i="68"/>
  <c r="G31" i="68"/>
  <c r="G8" i="68"/>
  <c r="G30" i="68"/>
  <c r="G36" i="68"/>
  <c r="G27" i="68"/>
  <c r="G5" i="68"/>
  <c r="V83" i="107"/>
  <c r="V104" i="107" s="1"/>
  <c r="V103" i="107" l="1"/>
  <c r="V102" i="107"/>
  <c r="V101" i="107"/>
  <c r="V105" i="107"/>
  <c r="H11" i="66"/>
  <c r="K11" i="66" s="1"/>
  <c r="M11" i="66" s="1"/>
  <c r="H79" i="66"/>
  <c r="K79" i="66" s="1"/>
  <c r="M79" i="66" s="1"/>
  <c r="H28" i="66"/>
  <c r="K28" i="66" s="1"/>
  <c r="M28" i="66" s="1"/>
  <c r="H26" i="66"/>
  <c r="K26" i="66" s="1"/>
  <c r="M26" i="66" s="1"/>
  <c r="H77" i="66"/>
  <c r="K77" i="66" s="1"/>
  <c r="M77" i="66" s="1"/>
  <c r="H9" i="66"/>
  <c r="K9" i="66" s="1"/>
  <c r="M9" i="66" s="1"/>
  <c r="G61" i="66"/>
  <c r="H61" i="66" s="1"/>
  <c r="K61" i="66" s="1"/>
  <c r="M61" i="66" s="1"/>
  <c r="E40" i="68"/>
  <c r="G44" i="66"/>
  <c r="H44" i="66" s="1"/>
  <c r="K44" i="66" s="1"/>
  <c r="M44" i="66" s="1"/>
  <c r="G27" i="66"/>
  <c r="G10" i="66"/>
  <c r="G78" i="66"/>
  <c r="E21" i="115"/>
  <c r="H41" i="66"/>
  <c r="K41" i="66" s="1"/>
  <c r="M41" i="66" s="1"/>
  <c r="K42" i="66"/>
  <c r="M42" i="66" s="1"/>
  <c r="J9" i="115"/>
  <c r="J8" i="115" s="1"/>
  <c r="J7" i="115" s="1"/>
  <c r="J6" i="115" s="1"/>
  <c r="J3" i="115" s="1"/>
  <c r="H11" i="115"/>
  <c r="H43" i="66"/>
  <c r="K43" i="66" s="1"/>
  <c r="M43" i="66" s="1"/>
  <c r="H45" i="66"/>
  <c r="K45" i="66" s="1"/>
  <c r="M45" i="66" s="1"/>
  <c r="E18" i="68"/>
  <c r="H36" i="68"/>
  <c r="E18" i="39"/>
  <c r="H12" i="68"/>
  <c r="H11" i="39"/>
  <c r="V60" i="85"/>
  <c r="P26" i="68" l="1" a="1"/>
  <c r="P26" i="68" s="1"/>
  <c r="Q26" i="68" a="1"/>
  <c r="Q26" i="68" s="1"/>
  <c r="O40" i="68" a="1"/>
  <c r="O40" i="68" s="1"/>
  <c r="P40" i="68" a="1"/>
  <c r="P40" i="68" s="1"/>
  <c r="Q40" i="68" a="1"/>
  <c r="Q40" i="68" s="1"/>
  <c r="O26" i="68" a="1"/>
  <c r="O26" i="68" s="1"/>
  <c r="H10" i="66"/>
  <c r="K10" i="66" s="1"/>
  <c r="M10" i="66" s="1"/>
  <c r="H78" i="66"/>
  <c r="K78" i="66" s="1"/>
  <c r="M78" i="66" s="1"/>
  <c r="H27" i="66"/>
  <c r="K27" i="66" s="1"/>
  <c r="M27" i="66" s="1"/>
  <c r="H40" i="66"/>
  <c r="K40" i="66" s="1"/>
  <c r="G13" i="70"/>
  <c r="H13" i="115"/>
  <c r="K13" i="115" s="1"/>
  <c r="M13" i="115" s="1"/>
  <c r="H12" i="115"/>
  <c r="K12" i="115" s="1"/>
  <c r="M12" i="115" s="1"/>
  <c r="H10" i="115"/>
  <c r="K10" i="115" s="1"/>
  <c r="M10" i="115" s="1"/>
  <c r="H17" i="115"/>
  <c r="K17" i="115" s="1"/>
  <c r="M17" i="115" s="1"/>
  <c r="F9" i="115"/>
  <c r="F8" i="115" s="1"/>
  <c r="K11" i="115"/>
  <c r="M11" i="115" s="1"/>
  <c r="H11" i="68"/>
  <c r="K11" i="68" s="1"/>
  <c r="M11" i="68" s="1"/>
  <c r="K12" i="68"/>
  <c r="M12" i="68" s="1"/>
  <c r="J8" i="68"/>
  <c r="J7" i="68" s="1"/>
  <c r="J6" i="68" s="1"/>
  <c r="J5" i="68" s="1"/>
  <c r="H10" i="68"/>
  <c r="K10" i="68" s="1"/>
  <c r="M10" i="68" s="1"/>
  <c r="H34" i="68"/>
  <c r="H9" i="68"/>
  <c r="K9" i="68" s="1"/>
  <c r="M9" i="68" s="1"/>
  <c r="H14" i="68"/>
  <c r="K14" i="68" s="1"/>
  <c r="M14" i="68" s="1"/>
  <c r="F30" i="68"/>
  <c r="F29" i="68" s="1"/>
  <c r="H29" i="68" s="1"/>
  <c r="H35" i="68"/>
  <c r="H31" i="68"/>
  <c r="H32" i="68"/>
  <c r="F8" i="68"/>
  <c r="H8" i="68" s="1"/>
  <c r="H13" i="68"/>
  <c r="K13" i="68" s="1"/>
  <c r="M13" i="68" s="1"/>
  <c r="F8" i="39"/>
  <c r="F7" i="39" s="1"/>
  <c r="H13" i="39"/>
  <c r="H10" i="39"/>
  <c r="H12" i="39"/>
  <c r="H9" i="39"/>
  <c r="H14" i="39"/>
  <c r="V20" i="85"/>
  <c r="V77" i="85" s="1"/>
  <c r="M40" i="66" l="1"/>
  <c r="H9" i="115"/>
  <c r="K9" i="115" s="1"/>
  <c r="H8" i="39"/>
  <c r="F7" i="115"/>
  <c r="H8" i="115"/>
  <c r="K8" i="115" s="1"/>
  <c r="K8" i="68"/>
  <c r="F7" i="68"/>
  <c r="F6" i="68" s="1"/>
  <c r="H30" i="68"/>
  <c r="F28" i="68"/>
  <c r="F27" i="68" s="1"/>
  <c r="F26" i="68" s="1"/>
  <c r="H26" i="68" s="1"/>
  <c r="G9" i="70"/>
  <c r="F6" i="39"/>
  <c r="F5" i="39" s="1"/>
  <c r="F4" i="39" s="1"/>
  <c r="H7" i="39"/>
  <c r="H5" i="39" l="1"/>
  <c r="H27" i="68"/>
  <c r="F6" i="115"/>
  <c r="F3" i="115" s="1"/>
  <c r="H3" i="115" s="1"/>
  <c r="K3" i="115" s="1"/>
  <c r="M3" i="115" s="1"/>
  <c r="H7" i="115"/>
  <c r="K7" i="115" s="1"/>
  <c r="H28" i="68"/>
  <c r="H7" i="68"/>
  <c r="K7" i="68" s="1"/>
  <c r="H6" i="39"/>
  <c r="F5" i="68"/>
  <c r="H5" i="68" s="1"/>
  <c r="K5" i="68" s="1"/>
  <c r="M5" i="68" s="1"/>
  <c r="H6" i="68"/>
  <c r="K6" i="68" s="1"/>
  <c r="H4" i="39" l="1"/>
  <c r="F5" i="115"/>
  <c r="H6" i="115"/>
  <c r="K6" i="115" s="1"/>
  <c r="M4" i="115" s="1"/>
  <c r="V45" i="4"/>
  <c r="H9" i="133" l="1"/>
  <c r="H11" i="141"/>
  <c r="K11" i="141" s="1"/>
  <c r="M11" i="141" s="1"/>
  <c r="H5" i="115"/>
  <c r="G9" i="69"/>
  <c r="V33" i="4"/>
  <c r="S68" i="4"/>
  <c r="H8" i="133" l="1"/>
  <c r="H10" i="141"/>
  <c r="K10" i="141" s="1"/>
  <c r="M10" i="141" s="1"/>
  <c r="V67" i="4"/>
  <c r="H14" i="141" s="1"/>
  <c r="K14" i="141" s="1"/>
  <c r="M14" i="141" s="1"/>
  <c r="S29" i="15"/>
  <c r="S27" i="15"/>
  <c r="F6" i="133" l="1"/>
  <c r="E18" i="133"/>
  <c r="G12" i="69"/>
  <c r="H14" i="133"/>
  <c r="G8" i="69"/>
  <c r="F5" i="133" l="1"/>
  <c r="H6" i="133"/>
  <c r="J7" i="133"/>
  <c r="K13" i="133" l="1"/>
  <c r="M13" i="133" s="1"/>
  <c r="K11" i="133"/>
  <c r="M11" i="133" s="1"/>
  <c r="J6" i="133"/>
  <c r="J5" i="133" s="1"/>
  <c r="J4" i="133" s="1"/>
  <c r="K9" i="133"/>
  <c r="M9" i="133" s="1"/>
  <c r="K8" i="133"/>
  <c r="M8" i="133" s="1"/>
  <c r="F4" i="133"/>
  <c r="H5" i="133"/>
  <c r="K14" i="133"/>
  <c r="M14" i="133" s="1"/>
  <c r="J7" i="69"/>
  <c r="V34" i="15"/>
  <c r="G3" i="133" l="1"/>
  <c r="G3" i="69"/>
  <c r="K6" i="133"/>
  <c r="K5" i="133"/>
  <c r="F3" i="133"/>
  <c r="H4" i="133"/>
  <c r="K4" i="133" s="1"/>
  <c r="J31" i="68"/>
  <c r="K33" i="68" s="1"/>
  <c r="M33" i="68" s="1"/>
  <c r="J9" i="39"/>
  <c r="K11" i="39" s="1"/>
  <c r="M11" i="39" s="1"/>
  <c r="H3" i="133" l="1"/>
  <c r="K31" i="68"/>
  <c r="M31" i="68" s="1"/>
  <c r="K34" i="68"/>
  <c r="M34" i="68" s="1"/>
  <c r="J30" i="68"/>
  <c r="J29" i="68" s="1"/>
  <c r="K29" i="68" s="1"/>
  <c r="K36" i="68"/>
  <c r="M36" i="68" s="1"/>
  <c r="K32" i="68"/>
  <c r="M32" i="68" s="1"/>
  <c r="K35" i="68"/>
  <c r="M35" i="68" s="1"/>
  <c r="K10" i="39"/>
  <c r="M10" i="39" s="1"/>
  <c r="K12" i="39"/>
  <c r="M12" i="39" s="1"/>
  <c r="K9" i="39"/>
  <c r="M9" i="39" s="1"/>
  <c r="K14" i="39"/>
  <c r="M14" i="39" s="1"/>
  <c r="K13" i="39"/>
  <c r="M13" i="39" s="1"/>
  <c r="J8" i="39"/>
  <c r="J7" i="39" s="1"/>
  <c r="J6" i="39" s="1"/>
  <c r="J5" i="39" s="1"/>
  <c r="K5" i="39" l="1"/>
  <c r="M3" i="39" s="1"/>
  <c r="J28" i="68"/>
  <c r="J27" i="68" s="1"/>
  <c r="J26" i="68" s="1"/>
  <c r="K26" i="68" s="1"/>
  <c r="K30" i="68"/>
  <c r="K7" i="39"/>
  <c r="K8" i="39"/>
  <c r="K6" i="39"/>
  <c r="K27" i="68" l="1"/>
  <c r="M27" i="68" s="1"/>
  <c r="M26" i="68"/>
  <c r="K28" i="68"/>
  <c r="J8" i="70"/>
  <c r="J7" i="70" s="1"/>
  <c r="J6" i="70" s="1"/>
  <c r="J5" i="70" s="1"/>
  <c r="H8" i="69" l="1"/>
  <c r="H9" i="69"/>
  <c r="H11" i="70"/>
  <c r="K11" i="70" s="1"/>
  <c r="M11" i="70" s="1"/>
  <c r="V20" i="4"/>
  <c r="H7" i="133" l="1"/>
  <c r="K7" i="133" s="1"/>
  <c r="M7" i="133" s="1"/>
  <c r="H9" i="141"/>
  <c r="K9" i="141" s="1"/>
  <c r="M9" i="141" s="1"/>
  <c r="F8" i="70"/>
  <c r="H8" i="70" s="1"/>
  <c r="K8" i="70" s="1"/>
  <c r="H10" i="70"/>
  <c r="K10" i="70" s="1"/>
  <c r="M10" i="70" s="1"/>
  <c r="H12" i="70"/>
  <c r="K12" i="70" s="1"/>
  <c r="M12" i="70" s="1"/>
  <c r="H14" i="70"/>
  <c r="K14" i="70" s="1"/>
  <c r="M14" i="70" s="1"/>
  <c r="H13" i="70"/>
  <c r="K13" i="70" s="1"/>
  <c r="M13" i="70" s="1"/>
  <c r="H9" i="70"/>
  <c r="K9" i="70" s="1"/>
  <c r="M9" i="70" s="1"/>
  <c r="H12" i="69"/>
  <c r="L16" i="141" l="1"/>
  <c r="M16" i="141" s="1"/>
  <c r="L64" i="66"/>
  <c r="L16" i="133"/>
  <c r="M16" i="133" s="1"/>
  <c r="L19" i="115"/>
  <c r="M19" i="115" s="1"/>
  <c r="L16" i="70"/>
  <c r="M16" i="70" s="1"/>
  <c r="L30" i="66"/>
  <c r="M30" i="66" s="1"/>
  <c r="L38" i="68"/>
  <c r="M38" i="68" s="1"/>
  <c r="L14" i="69"/>
  <c r="M14" i="69" s="1"/>
  <c r="L13" i="66"/>
  <c r="M13" i="66" s="1"/>
  <c r="L16" i="68"/>
  <c r="M16" i="68" s="1"/>
  <c r="L81" i="66"/>
  <c r="M81" i="66" s="1"/>
  <c r="L16" i="39"/>
  <c r="M16" i="39" s="1"/>
  <c r="L47" i="66"/>
  <c r="M47" i="66" s="1"/>
  <c r="M29" i="66"/>
  <c r="M80" i="66"/>
  <c r="M12" i="66"/>
  <c r="M46" i="66"/>
  <c r="M13" i="69"/>
  <c r="M15" i="39"/>
  <c r="M18" i="115"/>
  <c r="M15" i="70"/>
  <c r="M15" i="68"/>
  <c r="M37" i="68"/>
  <c r="F7" i="70"/>
  <c r="F6" i="70" s="1"/>
  <c r="F5" i="70" s="1"/>
  <c r="K9" i="69"/>
  <c r="M9" i="69" s="1"/>
  <c r="M21" i="115" l="1"/>
  <c r="M64" i="66"/>
  <c r="M66" i="66" s="1"/>
  <c r="M15" i="66"/>
  <c r="M40" i="68"/>
  <c r="M49" i="66"/>
  <c r="M18" i="68"/>
  <c r="M83" i="66"/>
  <c r="M32" i="66"/>
  <c r="H5" i="70"/>
  <c r="K5" i="70" s="1"/>
  <c r="M3" i="70" s="1"/>
  <c r="F4" i="70"/>
  <c r="M18" i="39"/>
  <c r="H7" i="70"/>
  <c r="K7" i="70" s="1"/>
  <c r="H6" i="70"/>
  <c r="K6" i="70" s="1"/>
  <c r="F6" i="69"/>
  <c r="F5" i="69" s="1"/>
  <c r="J6" i="69"/>
  <c r="J5" i="69" s="1"/>
  <c r="K8" i="69"/>
  <c r="M8" i="69" s="1"/>
  <c r="K12" i="69"/>
  <c r="M12" i="69" s="1"/>
  <c r="J3" i="133" l="1"/>
  <c r="K3" i="133" s="1"/>
  <c r="M3" i="133" s="1"/>
  <c r="H4" i="70"/>
  <c r="F4" i="69"/>
  <c r="H5" i="69"/>
  <c r="E16" i="69"/>
  <c r="F3" i="69" l="1"/>
  <c r="H3" i="69" s="1"/>
  <c r="H4" i="69"/>
  <c r="J4" i="69"/>
  <c r="J3" i="69" s="1"/>
  <c r="H6" i="69"/>
  <c r="K6" i="69" l="1"/>
  <c r="K5" i="69"/>
  <c r="G7" i="69" l="1"/>
  <c r="H7" i="69" s="1"/>
  <c r="K7" i="69" s="1"/>
  <c r="K3" i="69"/>
  <c r="K4" i="69"/>
  <c r="C45" i="7"/>
  <c r="C39" i="7"/>
  <c r="J38" i="7"/>
  <c r="H33" i="7"/>
  <c r="J33" i="7" s="1"/>
  <c r="G33" i="7"/>
  <c r="G38" i="7" s="1"/>
  <c r="F33" i="7"/>
  <c r="F38" i="7" s="1"/>
  <c r="E33" i="7"/>
  <c r="E38" i="7" s="1"/>
  <c r="D33" i="7"/>
  <c r="D36" i="7" s="1"/>
  <c r="F34" i="7" s="1"/>
  <c r="F27" i="7"/>
  <c r="D27" i="7"/>
  <c r="H26" i="7"/>
  <c r="F28" i="7" s="1"/>
  <c r="C26" i="7"/>
  <c r="H25" i="7"/>
  <c r="E28" i="7" s="1"/>
  <c r="D25" i="7"/>
  <c r="E24" i="7" s="1"/>
  <c r="H24" i="7"/>
  <c r="D28" i="7" s="1"/>
  <c r="C24" i="7"/>
  <c r="C28" i="7"/>
  <c r="E23" i="7"/>
  <c r="G18" i="7"/>
  <c r="F17" i="7"/>
  <c r="F18" i="7" s="1"/>
  <c r="E17" i="7"/>
  <c r="E18" i="7" s="1"/>
  <c r="D17" i="7"/>
  <c r="D18" i="7" s="1"/>
  <c r="C17" i="7"/>
  <c r="C18" i="7" s="1"/>
  <c r="H16" i="7"/>
  <c r="H15" i="7"/>
  <c r="D15" i="7"/>
  <c r="H14" i="7"/>
  <c r="H13" i="7"/>
  <c r="F13" i="7"/>
  <c r="C16" i="7" s="1"/>
  <c r="E13" i="7"/>
  <c r="C15" i="7" s="1"/>
  <c r="E8" i="7"/>
  <c r="G7" i="7"/>
  <c r="E7" i="7"/>
  <c r="C7" i="7"/>
  <c r="F6" i="7"/>
  <c r="D6" i="7"/>
  <c r="C6" i="7"/>
  <c r="G5" i="7"/>
  <c r="E5" i="7"/>
  <c r="C5" i="7"/>
  <c r="E4" i="7"/>
  <c r="M3" i="69" l="1"/>
  <c r="M7" i="69"/>
  <c r="E26" i="7"/>
  <c r="F25" i="7" s="1"/>
  <c r="E37" i="7"/>
  <c r="G35" i="7" s="1"/>
  <c r="H35" i="7"/>
  <c r="J35" i="7" s="1"/>
  <c r="E39" i="7"/>
  <c r="E16" i="7"/>
  <c r="D16" i="7"/>
  <c r="H36" i="7"/>
  <c r="J36" i="7" s="1"/>
  <c r="F39" i="7"/>
  <c r="H37" i="7"/>
  <c r="J37" i="7" s="1"/>
  <c r="G39" i="7"/>
  <c r="D26" i="7"/>
  <c r="F24" i="7" s="1"/>
  <c r="E36" i="7"/>
  <c r="F35" i="7" s="1"/>
  <c r="D37" i="7"/>
  <c r="G34" i="7" s="1"/>
  <c r="E27" i="7"/>
  <c r="D38" i="7"/>
  <c r="D35" i="7"/>
  <c r="E34" i="7" s="1"/>
  <c r="F37" i="7"/>
  <c r="G36" i="7" s="1"/>
  <c r="D39" i="7" l="1"/>
  <c r="H34" i="7"/>
  <c r="J34" i="7" s="1"/>
  <c r="V52" i="4" l="1"/>
  <c r="H10" i="133" l="1"/>
  <c r="K10" i="133" s="1"/>
  <c r="M10" i="133" s="1"/>
  <c r="H12" i="141"/>
  <c r="K12" i="141" s="1"/>
  <c r="M12" i="141" s="1"/>
  <c r="G10" i="69"/>
  <c r="V60" i="4"/>
  <c r="V77" i="4" s="1"/>
  <c r="H12" i="133" l="1"/>
  <c r="K12" i="133" s="1"/>
  <c r="M12" i="133" s="1"/>
  <c r="M18" i="133" s="1"/>
  <c r="H13" i="141"/>
  <c r="K13" i="141" s="1"/>
  <c r="M13" i="141" s="1"/>
  <c r="M18" i="141" s="1"/>
  <c r="H10" i="69"/>
  <c r="K10" i="69" s="1"/>
  <c r="M10" i="69" s="1"/>
  <c r="G11" i="69"/>
  <c r="H11" i="69" l="1"/>
  <c r="K11" i="69" s="1"/>
  <c r="M11" i="69" s="1"/>
  <c r="M16" i="69" s="1"/>
  <c r="E18" i="70" l="1"/>
  <c r="V38" i="117" l="1"/>
  <c r="M18" i="70" l="1"/>
  <c r="E29" i="128" s="1"/>
  <c r="C7" i="128" l="1"/>
  <c r="C17" i="12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Richard Taylor</author>
  </authors>
  <commentList>
    <comment ref="B3" authorId="0" shapeId="0" xr:uid="{00000000-0006-0000-0200-000001000000}">
      <text>
        <r>
          <rPr>
            <b/>
            <sz val="9"/>
            <color indexed="81"/>
            <rFont val="Tahoma"/>
            <family val="2"/>
          </rPr>
          <t>Richard Taylor:</t>
        </r>
        <r>
          <rPr>
            <sz val="9"/>
            <color indexed="81"/>
            <rFont val="Tahoma"/>
            <family val="2"/>
          </rPr>
          <t xml:space="preserve">
multiply by the factor to get "From" "To"</t>
        </r>
      </text>
    </comment>
    <comment ref="B4" authorId="0" shapeId="0" xr:uid="{00000000-0006-0000-0200-000002000000}">
      <text>
        <r>
          <rPr>
            <b/>
            <sz val="9"/>
            <color indexed="81"/>
            <rFont val="Tahoma"/>
            <family val="2"/>
          </rPr>
          <t>Richard Taylor:</t>
        </r>
        <r>
          <rPr>
            <sz val="9"/>
            <color indexed="81"/>
            <rFont val="Tahoma"/>
            <family val="2"/>
          </rPr>
          <t xml:space="preserve">
1 Joule is the energy required to move 1 kg of mass through a distance of 1 meter with speed in meters per second increasing at the rate of 1 meter per second.</t>
        </r>
      </text>
    </comment>
    <comment ref="B7" authorId="0" shapeId="0" xr:uid="{00000000-0006-0000-0200-000003000000}">
      <text>
        <r>
          <rPr>
            <b/>
            <sz val="9"/>
            <color indexed="81"/>
            <rFont val="Tahoma"/>
            <family val="2"/>
          </rPr>
          <t>Richard Taylor:</t>
        </r>
        <r>
          <rPr>
            <sz val="9"/>
            <color indexed="81"/>
            <rFont val="Tahoma"/>
            <family val="2"/>
          </rPr>
          <t xml:space="preserve">
1 Btu or British thermal unit is the energy required to raise the temperature of a pound of water from 60 to 61 degrees Fahernheit. 1 Therm = 100,000 Btu</t>
        </r>
      </text>
    </comment>
    <comment ref="B12" authorId="0" shapeId="0" xr:uid="{00000000-0006-0000-0200-000005000000}">
      <text>
        <r>
          <rPr>
            <b/>
            <sz val="9"/>
            <color indexed="81"/>
            <rFont val="Tahoma"/>
            <family val="2"/>
          </rPr>
          <t>Richard Taylor:</t>
        </r>
        <r>
          <rPr>
            <sz val="9"/>
            <color indexed="81"/>
            <rFont val="Tahoma"/>
            <family val="2"/>
          </rPr>
          <t xml:space="preserve">
multiply by the factor to get "From" "To"</t>
        </r>
      </text>
    </comment>
    <comment ref="B22" authorId="0" shapeId="0" xr:uid="{00000000-0006-0000-0200-000006000000}">
      <text>
        <r>
          <rPr>
            <b/>
            <sz val="9"/>
            <color indexed="81"/>
            <rFont val="Tahoma"/>
            <family val="2"/>
          </rPr>
          <t>Richard Taylor:</t>
        </r>
        <r>
          <rPr>
            <sz val="9"/>
            <color indexed="81"/>
            <rFont val="Tahoma"/>
            <family val="2"/>
          </rPr>
          <t xml:space="preserve">
multiply by the factor to get "From" "To"</t>
        </r>
      </text>
    </comment>
    <comment ref="B32" authorId="0" shapeId="0" xr:uid="{00000000-0006-0000-0200-000007000000}">
      <text>
        <r>
          <rPr>
            <b/>
            <sz val="9"/>
            <color indexed="81"/>
            <rFont val="Tahoma"/>
            <family val="2"/>
          </rPr>
          <t>Richard Taylor:</t>
        </r>
        <r>
          <rPr>
            <sz val="9"/>
            <color indexed="81"/>
            <rFont val="Tahoma"/>
            <family val="2"/>
          </rPr>
          <t xml:space="preserve">
multiply by the factor to get "From" "To"</t>
        </r>
      </text>
    </comment>
    <comment ref="B43" authorId="0" shapeId="0" xr:uid="{00000000-0006-0000-0200-000008000000}">
      <text>
        <r>
          <rPr>
            <b/>
            <sz val="9"/>
            <color indexed="81"/>
            <rFont val="Tahoma"/>
            <family val="2"/>
          </rPr>
          <t>Richard Taylor:</t>
        </r>
        <r>
          <rPr>
            <sz val="9"/>
            <color indexed="81"/>
            <rFont val="Tahoma"/>
            <family val="2"/>
          </rPr>
          <t xml:space="preserve">
multiply by the factor to get "From" "To"</t>
        </r>
      </text>
    </comment>
    <comment ref="B49" authorId="0" shapeId="0" xr:uid="{F6A8F3AB-4FFA-4165-A758-4A32E320FCAD}">
      <text>
        <r>
          <rPr>
            <b/>
            <sz val="9"/>
            <color indexed="81"/>
            <rFont val="Tahoma"/>
            <family val="2"/>
          </rPr>
          <t>Richard Taylor:</t>
        </r>
        <r>
          <rPr>
            <sz val="9"/>
            <color indexed="81"/>
            <rFont val="Tahoma"/>
            <family val="2"/>
          </rPr>
          <t xml:space="preserve">
multiply by the factor to get "From" "To"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C3E83EBC-7714-4CE7-8930-706EF7CEDC7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CFA5B720-AF89-41A5-8F0F-7D599FDB1FD8}">
      <text>
        <r>
          <rPr>
            <sz val="9"/>
            <color indexed="81"/>
            <rFont val="Tahoma"/>
            <family val="2"/>
          </rPr>
          <t>Recycle loops are not included in GHG calculations, as they do not cross the GHG assessment boundary</t>
        </r>
      </text>
    </comment>
    <comment ref="J5" authorId="1" shapeId="0" xr:uid="{4FEBC035-234A-4FF9-AD48-C67776505C4A}">
      <text>
        <r>
          <rPr>
            <sz val="9"/>
            <color indexed="81"/>
            <rFont val="Tahoma"/>
            <family val="2"/>
          </rPr>
          <t>will be 0 for some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DB6B095D-6204-4F2B-B052-E62E269F831D}">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AC83EC63-5697-40A1-9B5F-D431FED713CC}">
      <text>
        <r>
          <rPr>
            <sz val="9"/>
            <color indexed="81"/>
            <rFont val="Tahoma"/>
            <family val="2"/>
          </rPr>
          <t>Recycle loops are not included in GHG calculations, as they do not cross the GHG assessment boundary</t>
        </r>
      </text>
    </comment>
    <comment ref="J5" authorId="1" shapeId="0" xr:uid="{E1A6A366-728B-4A50-9CD6-267B95EE80FA}">
      <text>
        <r>
          <rPr>
            <sz val="9"/>
            <color indexed="81"/>
            <rFont val="Tahoma"/>
            <family val="2"/>
          </rPr>
          <t>will be 0 for some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C45A8E5C-6650-4CD3-BD7D-9B1B887DF923}">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EA16664F-1FD4-4FAB-843E-7F9B48F9557A}">
      <text>
        <r>
          <rPr>
            <sz val="9"/>
            <color indexed="81"/>
            <rFont val="Tahoma"/>
            <family val="2"/>
          </rPr>
          <t>Recycle loops are not included in GHG calculations, as they do not cross the GHG assessment boundary</t>
        </r>
      </text>
    </comment>
    <comment ref="J5" authorId="1" shapeId="0" xr:uid="{E4C644CE-E72D-4ADE-874C-1EE8EC31E909}">
      <text>
        <r>
          <rPr>
            <sz val="9"/>
            <color indexed="81"/>
            <rFont val="Tahoma"/>
            <family val="2"/>
          </rPr>
          <t>will be 0 for some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23893DA7-F53A-4EBA-8EEA-8B8A2524D18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8E7085B1-27D1-4183-97B7-2DE4F6695F8A}">
      <text>
        <r>
          <rPr>
            <sz val="9"/>
            <color indexed="81"/>
            <rFont val="Tahoma"/>
            <family val="2"/>
          </rPr>
          <t>Recycle loops are not included in GHG calculations, as they do not cross the GHG assessment boundary</t>
        </r>
      </text>
    </comment>
    <comment ref="J5" authorId="1" shapeId="0" xr:uid="{EEB6AEB0-6493-4692-A6AF-5E52DCD27BD4}">
      <text>
        <r>
          <rPr>
            <sz val="9"/>
            <color indexed="81"/>
            <rFont val="Tahoma"/>
            <family val="2"/>
          </rPr>
          <t>will be 0 for some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02B1B996-702F-44A1-9553-5422F25D8F84}">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B2CCB49E-BF25-4674-8F3B-6CC193D21969}">
      <text>
        <r>
          <rPr>
            <sz val="9"/>
            <color indexed="81"/>
            <rFont val="Tahoma"/>
            <family val="2"/>
          </rPr>
          <t>Recycle loops are not included in GHG calculations, as they do not cross the GHG assessment boundary</t>
        </r>
      </text>
    </comment>
    <comment ref="J5" authorId="1" shapeId="0" xr:uid="{47D1408B-88E5-4162-9AAF-CEEBDE21C569}">
      <text>
        <r>
          <rPr>
            <sz val="9"/>
            <color indexed="81"/>
            <rFont val="Tahoma"/>
            <family val="2"/>
          </rPr>
          <t>will be 0 for some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8CDDD70B-A7CE-4E1B-A58A-F6CB33D2744F}">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7BE29060-2554-4504-913B-1C8806A3E75A}">
      <text>
        <r>
          <rPr>
            <sz val="9"/>
            <color indexed="81"/>
            <rFont val="Tahoma"/>
            <family val="2"/>
          </rPr>
          <t>Recycle loops are not included in GHG calculations, as they do not cross the GHG assessment boundary</t>
        </r>
      </text>
    </comment>
    <comment ref="J5" authorId="1" shapeId="0" xr:uid="{8E065E0A-6378-442D-A98B-C12BA1397B4A}">
      <text>
        <r>
          <rPr>
            <sz val="9"/>
            <color indexed="81"/>
            <rFont val="Tahoma"/>
            <family val="2"/>
          </rPr>
          <t>will be 0 for some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CC6B9BCF-B3BA-44FF-B069-3170BC0465D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696EA6DA-83F2-4145-83FB-B54CCE894813}">
      <text>
        <r>
          <rPr>
            <sz val="9"/>
            <color indexed="81"/>
            <rFont val="Tahoma"/>
            <family val="2"/>
          </rPr>
          <t>Recycle loops are not included in GHG calculations, as they do not cross the GHG assessment boundary</t>
        </r>
      </text>
    </comment>
    <comment ref="J5" authorId="1" shapeId="0" xr:uid="{A7C29B73-9EF3-42DE-9826-C35B75367ABE}">
      <text>
        <r>
          <rPr>
            <sz val="9"/>
            <color indexed="81"/>
            <rFont val="Tahoma"/>
            <family val="2"/>
          </rPr>
          <t>will be 0 for some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60BC8D27-F5F1-45A0-BF08-7E74850CE3A8}">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3CA53DA8-F0AF-468A-BF24-36DC28395A60}">
      <text>
        <r>
          <rPr>
            <sz val="9"/>
            <color indexed="81"/>
            <rFont val="Tahoma"/>
            <family val="2"/>
          </rPr>
          <t>Recycle loops are not included in GHG calculations, as they do not cross the GHG assessment boundary</t>
        </r>
      </text>
    </comment>
    <comment ref="J5" authorId="1" shapeId="0" xr:uid="{56A12A37-8103-40D7-A7A0-66D3D8605B0B}">
      <text>
        <r>
          <rPr>
            <sz val="9"/>
            <color indexed="81"/>
            <rFont val="Tahoma"/>
            <family val="2"/>
          </rPr>
          <t>will be 0 for some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1421EA1E-5428-40D1-9C63-401AAFE143C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50B0EF29-6ECE-4080-82E4-3D40C62FA0A6}">
      <text>
        <r>
          <rPr>
            <sz val="9"/>
            <color indexed="81"/>
            <rFont val="Tahoma"/>
            <family val="2"/>
          </rPr>
          <t>Recycle loops are not included in GHG calculations, as they do not cross the GHG assessment boundary</t>
        </r>
      </text>
    </comment>
    <comment ref="J5" authorId="1" shapeId="0" xr:uid="{FE7A6C76-0C28-4300-BFFE-6C5A7FDE2DD5}">
      <text>
        <r>
          <rPr>
            <sz val="9"/>
            <color indexed="81"/>
            <rFont val="Tahoma"/>
            <family val="2"/>
          </rPr>
          <t>will be 0 for some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BAD54B8C-D695-4C9B-A6FE-F1C9658BD564}">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3A915921-2904-48AE-BB40-41E8BDAC17E1}">
      <text>
        <r>
          <rPr>
            <sz val="9"/>
            <color indexed="81"/>
            <rFont val="Tahoma"/>
            <family val="2"/>
          </rPr>
          <t>Recycle loops are not included in GHG calculations, as they do not cross the GHG assessment boundary</t>
        </r>
      </text>
    </comment>
    <comment ref="J5" authorId="1" shapeId="0" xr:uid="{F86B8B0B-59DF-4056-9449-0CAD01269F68}">
      <text>
        <r>
          <rPr>
            <sz val="9"/>
            <color indexed="81"/>
            <rFont val="Tahoma"/>
            <family val="2"/>
          </rPr>
          <t>will be 0 for some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7CA0C6D8-021D-4A53-9DE7-632707E21230}">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DE070F16-2DAF-422B-91B0-7AE53F7CC4CF}">
      <text>
        <r>
          <rPr>
            <sz val="9"/>
            <color indexed="81"/>
            <rFont val="Tahoma"/>
            <family val="2"/>
          </rPr>
          <t>Recycle loops are not included in GHG calculations, as they do not cross the GHG assessment boundary</t>
        </r>
      </text>
    </comment>
    <comment ref="J5" authorId="1" shapeId="0" xr:uid="{DBF8DA8A-AF9D-440B-9AFA-8FAE1BCC95E9}">
      <text>
        <r>
          <rPr>
            <sz val="9"/>
            <color indexed="81"/>
            <rFont val="Tahoma"/>
            <family val="2"/>
          </rPr>
          <t>will be 0 for some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ED51C0DE-BA40-4CAF-B9BD-2ED3CC0BFD75}">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92031FDF-1BC4-4314-86F7-A0EBC4F34900}">
      <text>
        <r>
          <rPr>
            <sz val="9"/>
            <color indexed="81"/>
            <rFont val="Tahoma"/>
            <family val="2"/>
          </rPr>
          <t>Recycle loops are not included in GHG calculations, as they do not cross the GHG assessment boundary</t>
        </r>
      </text>
    </comment>
    <comment ref="J5" authorId="1" shapeId="0" xr:uid="{5CE43C63-967D-439C-B603-54440F6AC8EB}">
      <text>
        <r>
          <rPr>
            <sz val="9"/>
            <color indexed="81"/>
            <rFont val="Tahoma"/>
            <family val="2"/>
          </rPr>
          <t>will be 0 for some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50798C17-8553-4561-B536-8C1D1CF66F60}">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1A3B3CCA-8EFB-46CD-B588-B84C5BE28E79}">
      <text>
        <r>
          <rPr>
            <sz val="9"/>
            <color indexed="81"/>
            <rFont val="Tahoma"/>
            <family val="2"/>
          </rPr>
          <t>Recycle loops are not included in GHG calculations, as they do not cross the GHG assessment boundary</t>
        </r>
      </text>
    </comment>
    <comment ref="J5" authorId="1" shapeId="0" xr:uid="{983D037A-3607-4C7B-9621-E750818A2E23}">
      <text>
        <r>
          <rPr>
            <sz val="9"/>
            <color indexed="81"/>
            <rFont val="Tahoma"/>
            <family val="2"/>
          </rPr>
          <t>will be 0 for some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0140484F-089B-4ACC-B6EA-697814DDFCE3}">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86FA1273-292B-4CB5-A863-B7D4B02DE214}">
      <text>
        <r>
          <rPr>
            <sz val="9"/>
            <color indexed="81"/>
            <rFont val="Tahoma"/>
            <family val="2"/>
          </rPr>
          <t>Recycle loops are not included in GHG calculations, as they do not cross the GHG assessment boundary</t>
        </r>
      </text>
    </comment>
    <comment ref="J5" authorId="1" shapeId="0" xr:uid="{B350BB07-5B42-4DCF-A0E1-52D7D0258F9E}">
      <text>
        <r>
          <rPr>
            <sz val="9"/>
            <color indexed="81"/>
            <rFont val="Tahoma"/>
            <family val="2"/>
          </rPr>
          <t>will be 0 for some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A268A125-0929-4E11-B783-F988626A5DB8}">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C918B55D-89C8-46FF-99CF-59E9842B9EF8}">
      <text>
        <r>
          <rPr>
            <sz val="9"/>
            <color indexed="81"/>
            <rFont val="Tahoma"/>
            <family val="2"/>
          </rPr>
          <t>Recycle loops are not included in GHG calculations, as they do not cross the GHG assessment boundary</t>
        </r>
      </text>
    </comment>
    <comment ref="J5" authorId="1" shapeId="0" xr:uid="{3AC8EB0C-CC36-4940-8E1A-0C2AD96361CF}">
      <text>
        <r>
          <rPr>
            <sz val="9"/>
            <color indexed="81"/>
            <rFont val="Tahoma"/>
            <family val="2"/>
          </rPr>
          <t>will be 0 for some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F8D78ECA-0213-4D00-9340-12A768AE944C}">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9A800198-34FB-4729-86E9-63AC2F4BDAD5}">
      <text>
        <r>
          <rPr>
            <sz val="9"/>
            <color indexed="81"/>
            <rFont val="Tahoma"/>
            <family val="2"/>
          </rPr>
          <t>Recycle loops are not included in GHG calculations, as they do not cross the GHG assessment boundary</t>
        </r>
      </text>
    </comment>
    <comment ref="J5" authorId="1" shapeId="0" xr:uid="{D74E97C0-74B8-4AE3-920E-0A78CA5016D7}">
      <text>
        <r>
          <rPr>
            <sz val="9"/>
            <color indexed="81"/>
            <rFont val="Tahoma"/>
            <family val="2"/>
          </rPr>
          <t>will be 0 for some</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B68D215D-A189-462F-BDA5-2B3C7623BE19}">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FB718475-F335-4817-91E6-F6F243A15302}">
      <text>
        <r>
          <rPr>
            <sz val="9"/>
            <color indexed="81"/>
            <rFont val="Tahoma"/>
            <family val="2"/>
          </rPr>
          <t>Recycle loops are not included in GHG calculations, as they do not cross the GHG assessment boundary</t>
        </r>
      </text>
    </comment>
    <comment ref="J5" authorId="1" shapeId="0" xr:uid="{A8973E8A-6BFD-465D-AD11-4B1596E77472}">
      <text>
        <r>
          <rPr>
            <sz val="9"/>
            <color indexed="81"/>
            <rFont val="Tahoma"/>
            <family val="2"/>
          </rPr>
          <t>will be 0 for some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96F35238-752F-437A-B05A-DD81053325EB}">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0BA8A0B5-ECA9-4248-9B30-75FD6CB5069C}">
      <text>
        <r>
          <rPr>
            <sz val="9"/>
            <color indexed="81"/>
            <rFont val="Tahoma"/>
            <family val="2"/>
          </rPr>
          <t>Recycle loops are not included in GHG calculations, as they do not cross the GHG assessment boundary</t>
        </r>
      </text>
    </comment>
    <comment ref="J5" authorId="1" shapeId="0" xr:uid="{6D978B23-A2CE-4D96-A71B-6F9451145203}">
      <text>
        <r>
          <rPr>
            <sz val="9"/>
            <color indexed="81"/>
            <rFont val="Tahoma"/>
            <family val="2"/>
          </rPr>
          <t>will be 0 for some</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46223433-640A-4CEF-A1F4-B19E2C23083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0AAA8C26-4112-4F53-B182-94C8559B01EE}">
      <text>
        <r>
          <rPr>
            <sz val="9"/>
            <color indexed="81"/>
            <rFont val="Tahoma"/>
            <family val="2"/>
          </rPr>
          <t>Recycle loops are not included in GHG calculations, as they do not cross the GHG assessment boundary</t>
        </r>
      </text>
    </comment>
    <comment ref="J5" authorId="1" shapeId="0" xr:uid="{6786C365-A3C0-4057-A790-1F03308E3B68}">
      <text>
        <r>
          <rPr>
            <sz val="9"/>
            <color indexed="81"/>
            <rFont val="Tahoma"/>
            <family val="2"/>
          </rPr>
          <t>will be 0 for some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312BDC5B-1FC8-4965-A524-E8C6EEDF7F65}">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4CADB936-7D54-4063-B073-386860106DAC}">
      <text>
        <r>
          <rPr>
            <sz val="9"/>
            <color indexed="81"/>
            <rFont val="Tahoma"/>
            <family val="2"/>
          </rPr>
          <t>Recycle loops are not included in GHG calculations, as they do not cross the GHG assessment boundary</t>
        </r>
      </text>
    </comment>
    <comment ref="J5" authorId="1" shapeId="0" xr:uid="{13A4044B-CF5D-46FD-975F-D7D4D41C0C25}">
      <text>
        <r>
          <rPr>
            <sz val="9"/>
            <color indexed="81"/>
            <rFont val="Tahoma"/>
            <family val="2"/>
          </rPr>
          <t>will be 0 for some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6DF0E0B3-A55C-44EF-B2C4-AA06DF7CD2D3}">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94923A4F-AFF1-4374-B79A-4BC7FE4E7430}">
      <text>
        <r>
          <rPr>
            <sz val="9"/>
            <color indexed="81"/>
            <rFont val="Tahoma"/>
            <family val="2"/>
          </rPr>
          <t>Recycle loops are not included in GHG calculations, as they do not cross the GHG assessment boundary</t>
        </r>
      </text>
    </comment>
    <comment ref="J5" authorId="1" shapeId="0" xr:uid="{8A34A9B3-243E-45A2-AB52-715D412F85AD}">
      <text>
        <r>
          <rPr>
            <sz val="9"/>
            <color indexed="81"/>
            <rFont val="Tahoma"/>
            <family val="2"/>
          </rPr>
          <t>will be 0 for some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56C5A379-0B37-4784-B14B-347A7906BD04}">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9AE01070-C279-4E5A-A56E-32FDC1BB09BF}">
      <text>
        <r>
          <rPr>
            <sz val="9"/>
            <color indexed="81"/>
            <rFont val="Tahoma"/>
            <family val="2"/>
          </rPr>
          <t>Recycle loops are not included in GHG calculations, as they do not cross the GHG assessment boundary</t>
        </r>
      </text>
    </comment>
    <comment ref="J5" authorId="1" shapeId="0" xr:uid="{7BC43371-F945-4FAD-99C1-13CF41ED084F}">
      <text>
        <r>
          <rPr>
            <sz val="9"/>
            <color indexed="81"/>
            <rFont val="Tahoma"/>
            <family val="2"/>
          </rPr>
          <t>will be 0 for some</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DE806CE3-0F8E-4635-8D17-170D99E79B5C}">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B6CDE4F0-89F5-4C1E-AD41-8D2F39E2D733}">
      <text>
        <r>
          <rPr>
            <sz val="9"/>
            <color indexed="81"/>
            <rFont val="Tahoma"/>
            <family val="2"/>
          </rPr>
          <t>Recycle loops are not included in GHG calculations, as they do not cross the GHG assessment boundary</t>
        </r>
      </text>
    </comment>
    <comment ref="J5" authorId="1" shapeId="0" xr:uid="{19BF2B9A-4921-4B99-BD78-9B6D7108DE62}">
      <text>
        <r>
          <rPr>
            <sz val="9"/>
            <color indexed="81"/>
            <rFont val="Tahoma"/>
            <family val="2"/>
          </rPr>
          <t>will be 0 for some</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395FE6FC-2361-424F-ADA9-D22E1F1C092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945A8229-FD74-49E7-8B8B-DB8A7AF2462A}">
      <text>
        <r>
          <rPr>
            <sz val="9"/>
            <color indexed="81"/>
            <rFont val="Tahoma"/>
            <family val="2"/>
          </rPr>
          <t>Recycle loops are not included in GHG calculations, as they do not cross the GHG assessment boundary</t>
        </r>
      </text>
    </comment>
    <comment ref="J5" authorId="1" shapeId="0" xr:uid="{D9D67E66-CA16-4EF0-A9ED-192A463E3B60}">
      <text>
        <r>
          <rPr>
            <sz val="9"/>
            <color indexed="81"/>
            <rFont val="Tahoma"/>
            <family val="2"/>
          </rPr>
          <t>will be 0 for some</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19D46E97-FC6A-4328-801E-824C765FDD3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1F1A260A-0198-4758-916E-D7B2597B1DEB}">
      <text>
        <r>
          <rPr>
            <sz val="9"/>
            <color indexed="81"/>
            <rFont val="Tahoma"/>
            <family val="2"/>
          </rPr>
          <t>Recycle loops are not included in GHG calculations, as they do not cross the GHG assessment boundary</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176EC030-BFA9-4E18-9CB1-36F58395FA15}">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D572C84B-32C2-4489-85E2-EA4ACAFAE09E}">
      <text>
        <r>
          <rPr>
            <sz val="9"/>
            <color indexed="81"/>
            <rFont val="Tahoma"/>
            <family val="2"/>
          </rPr>
          <t>Recycle loops are not included in GHG calculations, as they do not cross the GHG assessment boundary</t>
        </r>
      </text>
    </comment>
    <comment ref="J5" authorId="1" shapeId="0" xr:uid="{6842A874-1274-4039-9BDB-FB25F5FD6264}">
      <text>
        <r>
          <rPr>
            <sz val="9"/>
            <color indexed="81"/>
            <rFont val="Tahoma"/>
            <family val="2"/>
          </rPr>
          <t>will be 0 for some</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18316D63-C61F-4DC6-90AD-CAFD58653FE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58EA2181-246B-4D82-A614-AEB8882E7A35}">
      <text>
        <r>
          <rPr>
            <sz val="9"/>
            <color indexed="81"/>
            <rFont val="Tahoma"/>
            <family val="2"/>
          </rPr>
          <t>Recycle loops are not included in GHG calculations, as they do not cross the GHG assessment boundary</t>
        </r>
      </text>
    </comment>
    <comment ref="J5" authorId="1" shapeId="0" xr:uid="{26FA5DEC-2F13-43D4-B5DB-E0F4D2392161}">
      <text>
        <r>
          <rPr>
            <sz val="9"/>
            <color indexed="81"/>
            <rFont val="Tahoma"/>
            <family val="2"/>
          </rPr>
          <t>will be 0 for some</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AEEF654E-773E-4446-87F8-05892B7A9490}">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96CBF52D-6043-4B02-BBC9-BBD722DA0957}">
      <text>
        <r>
          <rPr>
            <sz val="9"/>
            <color indexed="81"/>
            <rFont val="Tahoma"/>
            <family val="2"/>
          </rPr>
          <t>Recycle loops are not included in GHG calculations, as they do not cross the GHG assessment boundary</t>
        </r>
      </text>
    </comment>
    <comment ref="J5" authorId="1" shapeId="0" xr:uid="{986B63F4-5B46-4A3F-9E6F-5B24DE8598C5}">
      <text>
        <r>
          <rPr>
            <sz val="9"/>
            <color indexed="81"/>
            <rFont val="Tahoma"/>
            <family val="2"/>
          </rPr>
          <t>will be 0 for some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2A0E5454-36F6-4332-AF98-7EFE1BAD8E5C}">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565C0588-01A5-4EFA-915B-ACA5F70D62A3}">
      <text>
        <r>
          <rPr>
            <sz val="9"/>
            <color indexed="81"/>
            <rFont val="Tahoma"/>
            <family val="2"/>
          </rPr>
          <t>Recycle loops are not included in GHG calculations, as they do not cross the GHG assessment boundary</t>
        </r>
      </text>
    </comment>
    <comment ref="J5" authorId="1" shapeId="0" xr:uid="{5FA4A5A5-29E6-4989-8724-B9FF0E0823AA}">
      <text>
        <r>
          <rPr>
            <sz val="9"/>
            <color indexed="81"/>
            <rFont val="Tahoma"/>
            <family val="2"/>
          </rPr>
          <t>will be 0 for some</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C7AC26E7-ECBA-4A62-9B66-B08CB8FB3EDA}">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5C82BA91-9A65-4A42-BEF0-FFA8B578CD4F}">
      <text>
        <r>
          <rPr>
            <sz val="9"/>
            <color indexed="81"/>
            <rFont val="Tahoma"/>
            <family val="2"/>
          </rPr>
          <t>Recycle loops are not included in GHG calculations, as they do not cross the GHG assessment boundary</t>
        </r>
      </text>
    </comment>
    <comment ref="J5" authorId="1" shapeId="0" xr:uid="{3B8A459F-D70C-486A-9380-A96485B228FE}">
      <text>
        <r>
          <rPr>
            <sz val="9"/>
            <color indexed="81"/>
            <rFont val="Tahoma"/>
            <family val="2"/>
          </rPr>
          <t>will be 0 for some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5E4B20BF-7D2C-4355-B202-98922E59E114}">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46806E59-7962-4586-820E-3BAA7AD462E7}">
      <text>
        <r>
          <rPr>
            <sz val="9"/>
            <color indexed="81"/>
            <rFont val="Tahoma"/>
            <family val="2"/>
          </rPr>
          <t>Recycle loops are not included in GHG calculations, as they do not cross the GHG assessment boundary</t>
        </r>
      </text>
    </comment>
    <comment ref="J5" authorId="1" shapeId="0" xr:uid="{983B2FCF-0D79-4BC2-8DF0-E173946E50CC}">
      <text>
        <r>
          <rPr>
            <sz val="9"/>
            <color indexed="81"/>
            <rFont val="Tahoma"/>
            <family val="2"/>
          </rPr>
          <t>will be 0 for some</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B29D4880-65DB-475A-A87D-8D124743070F}">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8536F87D-4C9C-4A4B-BBBD-02B2E71BDF3F}">
      <text>
        <r>
          <rPr>
            <sz val="9"/>
            <color indexed="81"/>
            <rFont val="Tahoma"/>
            <family val="2"/>
          </rPr>
          <t>Recycle loops are not included in GHG calculations, as they do not cross the GHG assessment boundary</t>
        </r>
      </text>
    </comment>
    <comment ref="J5" authorId="1" shapeId="0" xr:uid="{275447D7-FCE3-4451-B601-ECAF897E765D}">
      <text>
        <r>
          <rPr>
            <sz val="9"/>
            <color indexed="81"/>
            <rFont val="Tahoma"/>
            <family val="2"/>
          </rPr>
          <t>will be 0 for some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1686EBAC-A319-424E-887F-6D083BC8C0EC}">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4C96AE5A-39D6-4B32-B691-031038B55363}">
      <text>
        <r>
          <rPr>
            <sz val="9"/>
            <color indexed="81"/>
            <rFont val="Tahoma"/>
            <family val="2"/>
          </rPr>
          <t>Recycle loops are not included in GHG calculations, as they do not cross the GHG assessment boundary</t>
        </r>
      </text>
    </comment>
    <comment ref="J5" authorId="1" shapeId="0" xr:uid="{469EDFA2-C608-4701-BE59-18B8F1A08E6E}">
      <text>
        <r>
          <rPr>
            <sz val="9"/>
            <color indexed="81"/>
            <rFont val="Tahoma"/>
            <family val="2"/>
          </rPr>
          <t>will be 0 for some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CF6EE9F9-00DA-450F-B6ED-9F3FFEA194DA}">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B2BCC674-B3CC-4004-8CE9-AF4CD90AF3C2}">
      <text>
        <r>
          <rPr>
            <sz val="9"/>
            <color indexed="81"/>
            <rFont val="Tahoma"/>
            <family val="2"/>
          </rPr>
          <t>Recycle loops are not included in GHG calculations, as they do not cross the GHG assessment boundary</t>
        </r>
      </text>
    </comment>
    <comment ref="J5" authorId="1" shapeId="0" xr:uid="{BBCB3E9E-BF1B-41B5-8822-1732DBA382F9}">
      <text>
        <r>
          <rPr>
            <sz val="9"/>
            <color indexed="81"/>
            <rFont val="Tahoma"/>
            <family val="2"/>
          </rPr>
          <t>will be 0 for some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00000000-0006-0000-0800-000001000000}">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6F47E809-8CD4-4F6E-B093-D624E7D8AD0A}">
      <text>
        <r>
          <rPr>
            <sz val="9"/>
            <color indexed="81"/>
            <rFont val="Tahoma"/>
            <family val="2"/>
          </rPr>
          <t>Recycle loops are not included in GHG calculations, as they do not cross the GHG assessment boundary</t>
        </r>
      </text>
    </comment>
    <comment ref="J5" authorId="1" shapeId="0" xr:uid="{5CF8A896-5301-4508-A563-E3D005CD2071}">
      <text>
        <r>
          <rPr>
            <sz val="9"/>
            <color indexed="81"/>
            <rFont val="Tahoma"/>
            <family val="2"/>
          </rPr>
          <t>will be 0 for some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2C18104C-B67A-4BB0-9C98-592039BF8243}">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49E281AC-2C2E-42B6-BCB1-B6D6FD56403A}">
      <text>
        <r>
          <rPr>
            <sz val="9"/>
            <color indexed="81"/>
            <rFont val="Tahoma"/>
            <family val="2"/>
          </rPr>
          <t>Recycle loops are not included in GHG calculations, as they do not cross the GHG assessment boundary</t>
        </r>
      </text>
    </comment>
    <comment ref="J5" authorId="1" shapeId="0" xr:uid="{5C857EDB-F956-4B95-8421-62D5D3962FED}">
      <text>
        <r>
          <rPr>
            <sz val="9"/>
            <color indexed="81"/>
            <rFont val="Tahoma"/>
            <family val="2"/>
          </rPr>
          <t>will be 0 for some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B1AAD635-D4A2-4D40-8AFC-333CE9F299CE}">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91EB261F-D15E-4F5F-AF42-8D71B427158A}">
      <text>
        <r>
          <rPr>
            <sz val="9"/>
            <color indexed="81"/>
            <rFont val="Tahoma"/>
            <family val="2"/>
          </rPr>
          <t>Recycle loops are not included in GHG calculations, as they do not cross the GHG assessment boundary</t>
        </r>
      </text>
    </comment>
    <comment ref="J5" authorId="1" shapeId="0" xr:uid="{4097CB6F-F454-4E76-A172-CA1CFCF4FAF1}">
      <text>
        <r>
          <rPr>
            <sz val="9"/>
            <color indexed="81"/>
            <rFont val="Tahoma"/>
            <family val="2"/>
          </rPr>
          <t>will be 0 for some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E58CCDFE-71D0-4BAA-8C1F-F5B5251FAE54}">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6BD491F9-BB43-488A-9600-8CD0DAD04276}">
      <text>
        <r>
          <rPr>
            <sz val="9"/>
            <color indexed="81"/>
            <rFont val="Tahoma"/>
            <family val="2"/>
          </rPr>
          <t>Recycle loops are not included in GHG calculations, as they do not cross the GHG assessment boundary</t>
        </r>
      </text>
    </comment>
    <comment ref="J5" authorId="1" shapeId="0" xr:uid="{4B449A66-B80C-4405-A4C8-B2B8C8BA5F7E}">
      <text>
        <r>
          <rPr>
            <sz val="9"/>
            <color indexed="81"/>
            <rFont val="Tahoma"/>
            <family val="2"/>
          </rPr>
          <t>will be 0 for some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<sst xmlns="http://schemas.openxmlformats.org/spreadsheetml/2006/main" count="7007" uniqueCount="1322">
  <si>
    <t>Hydrogen Emissions Calculator for the UK Low Carbon Hydrogen Standard: 
FULL CALCULATOR FOR ALL ELIGIBLE PATHWAYS</t>
  </si>
  <si>
    <t>This calculator is used for calculating the likely future GHG emissions associated with hydrogen production from a particular production pathway and determining likely compliance of that pathway with the Low Carbon Hydrogen Standard. It covers hydrogen production pathways within the current scope of the Low Carbon Hydrogen Standard. Note that this workbook is not to be used for reporting of actual GHG emissions once your project is operational.</t>
  </si>
  <si>
    <t>1. Fill in the Initial_questions worksheet</t>
  </si>
  <si>
    <t>The user should first navigate to the Initial_questions worksheet to provide detailed information on the hydrogen production pathway. Certain questions include drop down menus and a response should be selected from the list of choices given. Other worksheets may not function properly if the Initial_questions worksheet is not fully completed.</t>
  </si>
  <si>
    <t>On completing the Initial_questions worksheet, the user should apply Custom Views to keep those worksheets relevant to the hydrogen production pathway active, while hiding those worksheets that are not relevant to the pathway of interest. Instructions on how to access Custom Views is provided at the bottom of the Initial_questions worksheet.</t>
  </si>
  <si>
    <t>The user should then navigate to the first step of their production pathway by following the link given at the bottom of the Initial_questions worksheet. Note if the link does not appear, ensure that responses to the questions have been provided in the Initial_questions worksheet.</t>
  </si>
  <si>
    <t>2. Fill in the Hydrogen Production Pathway Worksheets</t>
  </si>
  <si>
    <t>Once the user has navigated to the first step of their pathway, they will need provide data on the inputs and outputs to their pathway. It is important to provide as much detail as possible and include references to sources of information. Note that if the user has selected to use default data for some of the steps or processing plant emission categories in their pathway, the corresponding worksheets or rows will not need to be completed and will be blanked out with a message.</t>
  </si>
  <si>
    <t>3. View the result in the Summary GHG Worksheet</t>
  </si>
  <si>
    <t>The total GHG emissions calculated for the production pathway will be displayed in the pathway summary GHG worksheet which can be accessed via the link given at the top of the processing worksheet (the last step of the pathway, from which hydrogen is produced).</t>
  </si>
  <si>
    <t>Guidance Worksheets</t>
  </si>
  <si>
    <t>Guidance has been provided to help explain how to use the worksheets in this calculator.</t>
  </si>
  <si>
    <t>Multiple workbooks may be needed if there are multiple consignments for the pathway, e.g. multiple biomethane feedstocks used in ATR with CCS, or multiple biomass feedstocks used in gasification with CCS. The GHG emissions results for other consignments that have been calculated in other workbooks should be listed in the table in the Dashboard worksheet.</t>
  </si>
  <si>
    <t>Disclaimer</t>
  </si>
  <si>
    <t>A user achieving a satisfactory GHG emissions result within the tool is not necessarily proof of compliance with the UK's Low Carbon Hydrogen Standard nor eligibility for any UK Government grant funding or revenue support policies that rely on the Low Carbon Hydrogen Standard. ERM, Arup and DESNZ take no responsibility for any user errors or inconsistent datasets being used.</t>
  </si>
  <si>
    <t>The onus is on the user to carefully check all the data they input and any suggested datasets referenced within the tool that they rely on within their calculations, including whether any data used is applicable to the user's feedstock and pathway.</t>
  </si>
  <si>
    <t>Only once a completed version of this file, accompanying files for other hydrogen consignments (where relevant) and all accompanying evidence have been subject to detailed review for validity and consistency will DESNZ be able to state whether a project is likely to be compliant with the Low Carbon Hydrogen Standard.</t>
  </si>
  <si>
    <t>General instructions, Questions &amp; Pathway summary</t>
  </si>
  <si>
    <t>Title</t>
  </si>
  <si>
    <t>Landing page, overview instructions and disclaimer</t>
  </si>
  <si>
    <t>Navigation</t>
  </si>
  <si>
    <t>This worksheet, setting out the workbook structure</t>
  </si>
  <si>
    <t>Guidance Initial Qus</t>
  </si>
  <si>
    <t>This sheet explains how to use the Initial questions worksheet</t>
  </si>
  <si>
    <t>Guidance Processing</t>
  </si>
  <si>
    <t>This sheet explains how to use the Processing worksheets</t>
  </si>
  <si>
    <t>Guidance Feedstock dLUC</t>
  </si>
  <si>
    <t>This sheet explains how to use the access the RTFO calculator to calculate direct land use change emissions for the feedstock cultivation worksheets</t>
  </si>
  <si>
    <t>Guidance Summary GHG</t>
  </si>
  <si>
    <t>This sheet explains how to use the Summary GHG worksheets</t>
  </si>
  <si>
    <t>Initial_questions</t>
  </si>
  <si>
    <t>Fill in project details, pathway technology, feedstock details, electricity use, hydrogen output characteristics, CO2 capture assumptions and data sourcing</t>
  </si>
  <si>
    <t>System boundary</t>
  </si>
  <si>
    <t>Please provide a schematic representation of your GHG assessment system boundary, for the chosen consignment(s)</t>
  </si>
  <si>
    <t>Dashboard</t>
  </si>
  <si>
    <t>Please list all consignments, check you have answered all relevant questions and check your results</t>
  </si>
  <si>
    <t>Units</t>
  </si>
  <si>
    <t>Please add any additional unit conversions used throughout the workbook in this worksheet</t>
  </si>
  <si>
    <t>Default data</t>
  </si>
  <si>
    <t>Default data that can be used for feedstock supply, energy supply and input materials categories</t>
  </si>
  <si>
    <t>Typical data</t>
  </si>
  <si>
    <t>Typical data GHG emission intensities for electricity, fuel, feedstocks, self-discharge losses, round trip efficiencies, theoretical compression &amp; purification calculations</t>
  </si>
  <si>
    <t>Non Typical data</t>
  </si>
  <si>
    <t>Other useful reference sources</t>
  </si>
  <si>
    <t>GHG_ELECTROLYSIS</t>
  </si>
  <si>
    <t>Output Summary GHG emission worksheets showing step efficiencies, emissions, allocation between products/co-products, and pathway total GHG emissions</t>
  </si>
  <si>
    <t>GHG_NG_REFORM_CCS</t>
  </si>
  <si>
    <t>GHG_ROG_REFORM_CCS</t>
  </si>
  <si>
    <t>GHG_NG_SPLITTING</t>
  </si>
  <si>
    <t>GHG_BIOMETHANE_REFORM</t>
  </si>
  <si>
    <t>GHG_BIOMASS_GASIFICATION</t>
  </si>
  <si>
    <t>GHG_WASTE_GASIFICATION</t>
  </si>
  <si>
    <t>GHG_GENERIC_OTHER</t>
  </si>
  <si>
    <t>Electrolysis using wind/solar, nuclear, grid or other electricity sources</t>
  </si>
  <si>
    <t>Complete each of the applicable pathway step worksheets, ensuring that all inputs and outputs for each pathway step are captured. In each worksheet, a set of example inputs and outputs are provided. This should not be considered an exhaustive list, and some of the examples may not apply to your pathway. Illustrative data in red text are provided, which should be deleted/replaced.
The input and output values should be reported in either tonnes/yr or MWh/yr. Please provide the assumed annual operating hours (full-load equivalents) at the bottom of every worksheet. 
If a worksheet is not required, include only the step main input and main output (with the same data for both), with no other inputs/outputs/losses, and this will keep the worksheet at 100% efficiency, 100% allocation factor, with no added GHG emissions.
If default data will be used for part of the pathway, only provide input and output values for the relevant worksheets and do not complete blank worksheets. Note in the processing step for each pathway, default data may be selected for some of the emissions categories (Energy Supply and/or Input Materials), therefore there may be blank blocks of rows in this final worksheet for the pathway which do not need to be completed.
One workbook should be completed with the annual average data used for electricity sources and/or CO2 capture. Multiple workbooks may be needed if there are multiple feedstocks being used that form different hydrogen consignments with different GHG emissions, e.g. animal manure and maize feedstocks for a biomethane SMR pathway, or forestry residue and straw feedstocks for a biomass gasification pathway.</t>
  </si>
  <si>
    <t>Electrolysis</t>
  </si>
  <si>
    <t xml:space="preserve">Fossil natural gas reforming with CCS </t>
  </si>
  <si>
    <t>NG Collection</t>
  </si>
  <si>
    <t>NG Transport</t>
  </si>
  <si>
    <t>NG Processing</t>
  </si>
  <si>
    <t>NG Further Transport</t>
  </si>
  <si>
    <t>NG Reforming + CCS</t>
  </si>
  <si>
    <t xml:space="preserve">Refinery off gas (ROG) reforming with CCS </t>
  </si>
  <si>
    <t>ROG Counterfactual</t>
  </si>
  <si>
    <t>Crude Collection</t>
  </si>
  <si>
    <t>Crude Transport</t>
  </si>
  <si>
    <t>Crude Refine</t>
  </si>
  <si>
    <t>ROG Processing</t>
  </si>
  <si>
    <t>ROG Transport</t>
  </si>
  <si>
    <t>ROG Reforming + CCS</t>
  </si>
  <si>
    <t>Fossil natural gas splitting producing solid carbon</t>
  </si>
  <si>
    <t>NG Splitting Solid Carbon</t>
  </si>
  <si>
    <t xml:space="preserve">Biomethane reforming with or without CCS </t>
  </si>
  <si>
    <t>Biogas Feedstock Cultivation</t>
  </si>
  <si>
    <t>Biogas Feedstock Harvesting</t>
  </si>
  <si>
    <t>Biogas Feedstock Collection</t>
  </si>
  <si>
    <t>Biogas Feedstock Transport</t>
  </si>
  <si>
    <t>Biogas+Biomethane Upgrading</t>
  </si>
  <si>
    <t>Biomethane Transport</t>
  </si>
  <si>
    <t>Biomethane Reforming (+ CCS)</t>
  </si>
  <si>
    <t>Biomass gasification with or without CCS</t>
  </si>
  <si>
    <t>Biomass Cultivation</t>
  </si>
  <si>
    <t>Biomass Harvesting</t>
  </si>
  <si>
    <t>Biomass Collection</t>
  </si>
  <si>
    <t>Biomass Transport</t>
  </si>
  <si>
    <t>Biomass Pre-Processing</t>
  </si>
  <si>
    <t>Biomass Further Transport</t>
  </si>
  <si>
    <t>Biomass Gasification (+ CCS)</t>
  </si>
  <si>
    <t>Waste gasification with or without CCS</t>
  </si>
  <si>
    <t>Waste Fossil Counterfactual</t>
  </si>
  <si>
    <t>Waste Collection</t>
  </si>
  <si>
    <t>Waste Transport</t>
  </si>
  <si>
    <t>Waste Pre-Processing</t>
  </si>
  <si>
    <t>Waste Further Transport</t>
  </si>
  <si>
    <t>Waste Gasification (+ CCS)</t>
  </si>
  <si>
    <t>Generic pathway</t>
  </si>
  <si>
    <t>Generic Feedstock Cultivation</t>
  </si>
  <si>
    <t>Generic Feedstock Harvesting</t>
  </si>
  <si>
    <t>Generic Feedstock Collection</t>
  </si>
  <si>
    <t>Generic Feedstock Transport</t>
  </si>
  <si>
    <t>Generic Pre-Processing</t>
  </si>
  <si>
    <t>Generic Further Transport</t>
  </si>
  <si>
    <t>Generic Conversion</t>
  </si>
  <si>
    <t>Version control</t>
  </si>
  <si>
    <t>Initial questions worksheet</t>
  </si>
  <si>
    <t>This sheet provides guidance on how to use the Initial questions worksheet</t>
  </si>
  <si>
    <t>Legend</t>
  </si>
  <si>
    <t>Cells require data input (freeform)</t>
  </si>
  <si>
    <t>Cells require data input (from drop-down menu)</t>
  </si>
  <si>
    <t>Calculation cells</t>
  </si>
  <si>
    <t>Initial questions worksheet overview</t>
  </si>
  <si>
    <t xml:space="preserve">The answers given in the Initial questions worksheet are used to assess compliance of the pathway with the UK Low Carbon Hydrogen Standard. </t>
  </si>
  <si>
    <t>Later questions will update based on the answers given to earlier questions in the worksheet. "Not applicable" is a valid selection if the question is irrelevant to your project.</t>
  </si>
  <si>
    <t xml:space="preserve">The hydrogen production pathway and the feedstock origins should be selected from the drop down lists provided. </t>
  </si>
  <si>
    <t xml:space="preserve"> Example pathway 1: Natural Gas Steam Methane Reformer (SMR) with CCS</t>
  </si>
  <si>
    <t>Some sections may not be applicable to the pathway selected and the user should move on to the next set of questions if this is the case.</t>
  </si>
  <si>
    <t>Multiple workbooks may be needed if there are multiple feedstocks being used that form different hydrogen consignments with different GHG emissions, e.g. animal manure and maize feedstocks for a biomethane SMR pathway, or forestry residue and straw feedstocks for a biomass gasification pathway. The GHG emissions results for other consignments that have been calculated in other workbooks should be listed in the table in the Dashboard worksheet.</t>
  </si>
  <si>
    <t>Details on the electricity source(s) should be given here. Some questions will update based on previous answers given. Here, all required electricity sources are listed and so questions related to "Other" sources of electricity are updated to show "Not applicable".</t>
  </si>
  <si>
    <r>
      <t>Example pathway 1: Fossil SMR with CCS</t>
    </r>
    <r>
      <rPr>
        <sz val="11"/>
        <color rgb="FF000000"/>
        <rFont val="Calibri"/>
        <family val="2"/>
      </rPr>
      <t>. Questions and sections have updated to reflect pathway selection</t>
    </r>
  </si>
  <si>
    <r>
      <t>Example pathway 2: Biomass gasification with CCS</t>
    </r>
    <r>
      <rPr>
        <sz val="11"/>
        <color rgb="FF000000"/>
        <rFont val="Calibri"/>
        <family val="2"/>
      </rPr>
      <t>. Questions and sections have updated to reflect pathway selection</t>
    </r>
  </si>
  <si>
    <r>
      <t xml:space="preserve">The UK Low Carbon Hydrogen Standard requires that hydrogen GHG emissions are calculated at a minimum </t>
    </r>
    <r>
      <rPr>
        <b/>
        <sz val="11"/>
        <color rgb="FF000000"/>
        <rFont val="Calibri"/>
        <family val="2"/>
      </rPr>
      <t xml:space="preserve">3 MPa </t>
    </r>
    <r>
      <rPr>
        <sz val="11"/>
        <color rgb="FF000000"/>
        <rFont val="Calibri"/>
        <family val="2"/>
      </rPr>
      <t>pressure and</t>
    </r>
    <r>
      <rPr>
        <b/>
        <sz val="11"/>
        <color rgb="FF000000"/>
        <rFont val="Calibri"/>
        <family val="2"/>
      </rPr>
      <t xml:space="preserve"> 99.9% by volume </t>
    </r>
    <r>
      <rPr>
        <sz val="11"/>
        <color rgb="FF000000"/>
        <rFont val="Calibri"/>
        <family val="2"/>
      </rPr>
      <t xml:space="preserve">purity. If a pathway produces hydrogen at a lower pressure and purity, there are theoretical compression and purification GHG emissions included in the calculator to allow for these pathways to produce hydrogen that meets the requirements of the Standard. It is therefore important to provide data on the output pressure and purity of the hydrogen produced by a certain pathway. </t>
    </r>
    <r>
      <rPr>
        <b/>
        <sz val="11"/>
        <color rgb="FF000000"/>
        <rFont val="Calibri"/>
        <family val="2"/>
      </rPr>
      <t>Example pathway 3: Fossil ATR with CCS.</t>
    </r>
  </si>
  <si>
    <t>Your project may be at an early stage, and there may be insufficient data available to calculate the GHG emissions from certain steps of our pathway. Default data has been provided for the GHG emissions associated with feedstock supply, processing plant energy inputs, and processing plant input materials, for those hydrogen production pathways detailed in the Low Carbon Hydrogen Standard. If default data is required for the pathway, this should be selected in the drop down list to allow for the data to be populated in the relevant Summary GHG worksheet to calculate your result. Default data is not provided for the emissions associated with Process CO2 emissions generated, CO2 capture and network entry, CO2 sequestration, and Fugitive non-CO2 emissions, and so projected data values must be used for these categories. Projected data must also be used if your feedstock or pathway does not match the feedstock or pathway within the DESNZ default dataset.</t>
  </si>
  <si>
    <t>Example 4: Food waste ATR with CCS</t>
  </si>
  <si>
    <t>Processing worksheet</t>
  </si>
  <si>
    <t>This sheet provides guidance on how to use the processing worksheet (final step of the supply chain that produces hydrogen)</t>
  </si>
  <si>
    <t>Processing worksheet overview</t>
  </si>
  <si>
    <t>The Processing worksheet for the natural gas reforming step of the fossil ATR with CCS pathway is shown below as an example. Note the values in red text are illustrative numbers and should be deleted.</t>
  </si>
  <si>
    <r>
      <t>The processing worksheets are structured into the emissions categories of the UK Low Carbon Hydrogen Standard:
- Energy supply
- Input materials
- Process CO</t>
    </r>
    <r>
      <rPr>
        <vertAlign val="subscript"/>
        <sz val="11"/>
        <color rgb="FF000000"/>
        <rFont val="Calibri"/>
        <family val="2"/>
      </rPr>
      <t>2</t>
    </r>
    <r>
      <rPr>
        <sz val="11"/>
        <color rgb="FF000000"/>
        <rFont val="Calibri"/>
        <family val="2"/>
      </rPr>
      <t xml:space="preserve"> emissions
- CO</t>
    </r>
    <r>
      <rPr>
        <vertAlign val="subscript"/>
        <sz val="11"/>
        <color rgb="FF000000"/>
        <rFont val="Calibri"/>
        <family val="2"/>
      </rPr>
      <t>2</t>
    </r>
    <r>
      <rPr>
        <sz val="11"/>
        <color rgb="FF000000"/>
        <rFont val="Calibri"/>
        <family val="2"/>
      </rPr>
      <t xml:space="preserve"> capture and network entry
- CO</t>
    </r>
    <r>
      <rPr>
        <vertAlign val="subscript"/>
        <sz val="11"/>
        <color rgb="FF000000"/>
        <rFont val="Calibri"/>
        <family val="2"/>
      </rPr>
      <t>2</t>
    </r>
    <r>
      <rPr>
        <sz val="11"/>
        <color rgb="FF000000"/>
        <rFont val="Calibri"/>
        <family val="2"/>
      </rPr>
      <t xml:space="preserve"> sequestration
- Fugitive non-CO</t>
    </r>
    <r>
      <rPr>
        <vertAlign val="subscript"/>
        <sz val="11"/>
        <color rgb="FF000000"/>
        <rFont val="Calibri"/>
        <family val="2"/>
      </rPr>
      <t>2</t>
    </r>
    <r>
      <rPr>
        <sz val="11"/>
        <color rgb="FF000000"/>
        <rFont val="Calibri"/>
        <family val="2"/>
      </rPr>
      <t xml:space="preserve"> emissions</t>
    </r>
  </si>
  <si>
    <t>Energy supply</t>
  </si>
  <si>
    <t>Input materials</t>
  </si>
  <si>
    <r>
      <t>Process CO</t>
    </r>
    <r>
      <rPr>
        <b/>
        <vertAlign val="subscript"/>
        <sz val="11"/>
        <color rgb="FF000098"/>
        <rFont val="Calibri"/>
        <family val="2"/>
      </rPr>
      <t>2</t>
    </r>
    <r>
      <rPr>
        <b/>
        <sz val="11"/>
        <color rgb="FF000098"/>
        <rFont val="Calibri"/>
        <family val="2"/>
      </rPr>
      <t xml:space="preserve"> emissions, CO</t>
    </r>
    <r>
      <rPr>
        <b/>
        <vertAlign val="subscript"/>
        <sz val="11"/>
        <color rgb="FF000098"/>
        <rFont val="Calibri"/>
        <family val="2"/>
      </rPr>
      <t>2</t>
    </r>
    <r>
      <rPr>
        <b/>
        <sz val="11"/>
        <color rgb="FF000098"/>
        <rFont val="Calibri"/>
        <family val="2"/>
      </rPr>
      <t xml:space="preserve"> capture and network entry, CO</t>
    </r>
    <r>
      <rPr>
        <b/>
        <vertAlign val="subscript"/>
        <sz val="11"/>
        <color rgb="FF000098"/>
        <rFont val="Calibri"/>
        <family val="2"/>
      </rPr>
      <t xml:space="preserve">2 </t>
    </r>
    <r>
      <rPr>
        <b/>
        <sz val="11"/>
        <color rgb="FF000098"/>
        <rFont val="Calibri"/>
        <family val="2"/>
      </rPr>
      <t>sequestration</t>
    </r>
  </si>
  <si>
    <r>
      <t>Fugitive non-CO</t>
    </r>
    <r>
      <rPr>
        <b/>
        <vertAlign val="subscript"/>
        <sz val="11"/>
        <color rgb="FF000098"/>
        <rFont val="Calibri"/>
        <family val="2"/>
      </rPr>
      <t>2</t>
    </r>
    <r>
      <rPr>
        <b/>
        <sz val="11"/>
        <color rgb="FF000098"/>
        <rFont val="Calibri"/>
        <family val="2"/>
      </rPr>
      <t xml:space="preserve"> emissions</t>
    </r>
  </si>
  <si>
    <t>Other characteristics</t>
  </si>
  <si>
    <t>Direct Land Use Change (dLUC) Emissions</t>
  </si>
  <si>
    <t>This sheet provides guidance on how to access the RTFO calculator to calculate dLUC emissions for the feedstock cultivation worksheets</t>
  </si>
  <si>
    <t>Direct Land Use Change (dLUC) overview</t>
  </si>
  <si>
    <t>The direct land use change section of the Feedstock Cultivation worksheet for the biomethane ATR with CCS pathway is shown below as an example. Note the values in red text are illustrative numbers and should be deleted.</t>
  </si>
  <si>
    <t>To assist with calculations of dLUC emissions, the Renewable Transport Fuel Obligation (RTFO) calculator may be used. However, this should only be used for calculations of dLUC emissions, for input to this file. In addition, please note that the Low Carbon Hydrogen Standard does not currently allow emissions bonuses for using restored degraded land, soil for carbon accumulation via improved agricultural management, or avoided manure methane credits, so these should not be accounted for in the dLUC value inputted to this file.</t>
  </si>
  <si>
    <t xml:space="preserve">The RTFO calculator software can be downloaded via the following link: </t>
  </si>
  <si>
    <t xml:space="preserve">https://www.gov.uk/government/publications/biofuels-carbon-calculator-rtfo </t>
  </si>
  <si>
    <t>The User Manual for the calculator can also be accessed via the link above and provides guidance on how to use the calculator to generate results for a given supply chain.</t>
  </si>
  <si>
    <t>The calculation for land-use change emissions is detailed in Annex C, Chapter 5.1 (page 31) of the Low Carbon Hydrogen Standard guidance Annexes, with the following equation used (with further sub-equations for the individual terms):</t>
  </si>
  <si>
    <t>Summary worksheets</t>
  </si>
  <si>
    <t>This sheet provides guidance on how to use the Summary worksheets</t>
  </si>
  <si>
    <t>Calculation cells (linked to another worksheet or calculated in worksheet)</t>
  </si>
  <si>
    <t>Cell does not require data input and is not a calculation</t>
  </si>
  <si>
    <t>Summary worksheets overview</t>
  </si>
  <si>
    <t>The Summary worksheet with results for the fossil ATR with CCS pathway is shown below as an example. Note the projected data is based on illustrative numbers entered in red text in the pathway step worksheets, which the user will be deleting/overwriting.</t>
  </si>
  <si>
    <t>Calculator explanation</t>
  </si>
  <si>
    <t>1: Projected or Default data?</t>
  </si>
  <si>
    <t>If there is insufficient data for the upstream steps of the pathway, there is the option to select default data in the Data sources section of the Initial questions worksheet. There is also default data available for the energy supply and input materials. The default values are listed in the Default data worksheet and are automatically populated in the Summary table based on the pathway selected in the Initial questions worksheet.</t>
  </si>
  <si>
    <t>Selection made in the Initial questions worksheet:</t>
  </si>
  <si>
    <t>Summary worksheet entries are automatically populated based on this selection and the selected GHG emissions from the step are calculated.</t>
  </si>
  <si>
    <r>
      <t>2: GHG emissions from step, WITHOUT allocation (gCO</t>
    </r>
    <r>
      <rPr>
        <b/>
        <vertAlign val="subscript"/>
        <sz val="11"/>
        <color rgb="FF000098"/>
        <rFont val="Calibri"/>
        <family val="2"/>
      </rPr>
      <t>2e</t>
    </r>
    <r>
      <rPr>
        <b/>
        <sz val="11"/>
        <color rgb="FF000098"/>
        <rFont val="Calibri"/>
        <family val="2"/>
      </rPr>
      <t>/MJ</t>
    </r>
    <r>
      <rPr>
        <b/>
        <vertAlign val="subscript"/>
        <sz val="11"/>
        <color rgb="FF000098"/>
        <rFont val="Calibri"/>
        <family val="2"/>
      </rPr>
      <t xml:space="preserve"> LHV</t>
    </r>
    <r>
      <rPr>
        <b/>
        <sz val="11"/>
        <color rgb="FF000098"/>
        <rFont val="Calibri"/>
        <family val="2"/>
      </rPr>
      <t xml:space="preserve"> standard H</t>
    </r>
    <r>
      <rPr>
        <b/>
        <vertAlign val="subscript"/>
        <sz val="11"/>
        <color rgb="FF000098"/>
        <rFont val="Calibri"/>
        <family val="2"/>
      </rPr>
      <t>2</t>
    </r>
    <r>
      <rPr>
        <b/>
        <sz val="11"/>
        <color rgb="FF000098"/>
        <rFont val="Calibri"/>
        <family val="2"/>
      </rPr>
      <t>)</t>
    </r>
  </si>
  <si>
    <t>The emissions from each step, without allocation, is calculated using the following formula:</t>
  </si>
  <si>
    <r>
      <t>3: Projected GHG emissions from step, WITH allocation (gCO</t>
    </r>
    <r>
      <rPr>
        <b/>
        <vertAlign val="subscript"/>
        <sz val="11"/>
        <color rgb="FF000098"/>
        <rFont val="Calibri"/>
        <family val="2"/>
      </rPr>
      <t>2e</t>
    </r>
    <r>
      <rPr>
        <b/>
        <sz val="11"/>
        <color rgb="FF000098"/>
        <rFont val="Calibri"/>
        <family val="2"/>
      </rPr>
      <t>/MJ</t>
    </r>
    <r>
      <rPr>
        <b/>
        <vertAlign val="subscript"/>
        <sz val="11"/>
        <color rgb="FF000098"/>
        <rFont val="Calibri"/>
        <family val="2"/>
      </rPr>
      <t xml:space="preserve"> LHV</t>
    </r>
    <r>
      <rPr>
        <b/>
        <sz val="11"/>
        <color rgb="FF000098"/>
        <rFont val="Calibri"/>
        <family val="2"/>
      </rPr>
      <t xml:space="preserve"> standard H</t>
    </r>
    <r>
      <rPr>
        <b/>
        <vertAlign val="subscript"/>
        <sz val="11"/>
        <color rgb="FF000098"/>
        <rFont val="Calibri"/>
        <family val="2"/>
      </rPr>
      <t>2</t>
    </r>
    <r>
      <rPr>
        <b/>
        <sz val="11"/>
        <color rgb="FF000098"/>
        <rFont val="Calibri"/>
        <family val="2"/>
      </rPr>
      <t>)</t>
    </r>
  </si>
  <si>
    <t>The emissions from each step, with allocation, is calculated using the following formula:</t>
  </si>
  <si>
    <t>The energy allocation approach is used to determine the allocation factor for each step. The upstream and step emissions are assigned to all products and co-products according to the proportion of the total output energy that they each have, as measured on a lower heating value basis.</t>
  </si>
  <si>
    <t>Initial questions to be filled in by any hydrogen production project</t>
  </si>
  <si>
    <t>Project details</t>
  </si>
  <si>
    <t>Organisation name</t>
  </si>
  <si>
    <t>Contact email address</t>
  </si>
  <si>
    <t>Project name</t>
  </si>
  <si>
    <t>Is the hydrogen production project located in the UK?</t>
  </si>
  <si>
    <t>Details of the project location</t>
  </si>
  <si>
    <t>Technology</t>
  </si>
  <si>
    <t>Please select the hydrogen production pathway relevant to your project</t>
  </si>
  <si>
    <t>Please confirm that your hydrogen production plant is yet to be constructed (select ‘Yes’ if not yet built)</t>
  </si>
  <si>
    <t>What full calendar year of plant operations do the calculations in this workbook cover?</t>
  </si>
  <si>
    <t>Electricity inputs</t>
  </si>
  <si>
    <t>Of the electricity imported into the processing plant (not just for the hydrogen conversion equipment) in the relevant year of operations, what is the breakdown of the sources of this electricity? Please enter 0 if not applicable.</t>
  </si>
  <si>
    <t>Wind or solar electricity</t>
  </si>
  <si>
    <r>
      <t>MWh</t>
    </r>
    <r>
      <rPr>
        <b/>
        <vertAlign val="subscript"/>
        <sz val="11"/>
        <color rgb="FF000000"/>
        <rFont val="Calibri"/>
        <family val="2"/>
      </rPr>
      <t>e</t>
    </r>
    <r>
      <rPr>
        <b/>
        <sz val="11"/>
        <color rgb="FF000000"/>
        <rFont val="Calibri"/>
        <family val="2"/>
      </rPr>
      <t>/year</t>
    </r>
  </si>
  <si>
    <t>Nuclear electricity</t>
  </si>
  <si>
    <t>Grid electricity (national average)</t>
  </si>
  <si>
    <t>Stored electricity</t>
  </si>
  <si>
    <t>Other electricity source(s)</t>
  </si>
  <si>
    <r>
      <t>gCO</t>
    </r>
    <r>
      <rPr>
        <b/>
        <vertAlign val="subscript"/>
        <sz val="11"/>
        <color rgb="FF000000"/>
        <rFont val="Calibri"/>
        <family val="2"/>
      </rPr>
      <t>2</t>
    </r>
    <r>
      <rPr>
        <b/>
        <sz val="11"/>
        <color rgb="FF000000"/>
        <rFont val="Calibri"/>
        <family val="2"/>
      </rPr>
      <t>e/kWh</t>
    </r>
    <r>
      <rPr>
        <b/>
        <vertAlign val="subscript"/>
        <sz val="11"/>
        <color rgb="FF000000"/>
        <rFont val="Calibri"/>
        <family val="2"/>
      </rPr>
      <t>e</t>
    </r>
  </si>
  <si>
    <t>Expected annual average GHG emissions intensity of the total electricity imported into the processing plant in the relevant calendar year of operations</t>
  </si>
  <si>
    <t>Expected annual average % renewability of grid electricity (national average)</t>
  </si>
  <si>
    <t>Expected annual average % renewability of stored electricity</t>
  </si>
  <si>
    <t>Expected annual average % renewability of other electricity source(s)</t>
  </si>
  <si>
    <t>Expected annual average % of electricity derived from low-carbon sources - please adjust the formula if the 'stored electricity' or 'other electricity source' is low carbon</t>
  </si>
  <si>
    <t>Please give further details of the source of the electricity used in the processing plant (e.g. type, location, scale and status of a specific power plant or electricity storage facility, other generation sources imported)</t>
  </si>
  <si>
    <t>For the electricity imported into the processing plant, please enter the % of electricity sourced via each arrangement (enter 0% if not applicable)</t>
  </si>
  <si>
    <t>Curtailed low carbon electricity</t>
  </si>
  <si>
    <t>Off-grid dedicated generation (via physically linked low carbon electricity generation), neither low carbon electricity generator or hydrogen production plant connected to the grid</t>
  </si>
  <si>
    <t>On-grid dedicated generation (via physically linked low carbon electricity generation), if low carbon electricity generator and/or hydrogen production plant connected to the grid</t>
  </si>
  <si>
    <t xml:space="preserve">Direct/Sleeved Power Purchase Agreement (physical tracing of low carbon generation via the grid) </t>
  </si>
  <si>
    <t xml:space="preserve">Wholesale purchase from generator (physical tracing of low carbon generation via the grid) </t>
  </si>
  <si>
    <t>Shaped PPA (mix of physically traced generation and grid imported electricity)</t>
  </si>
  <si>
    <t xml:space="preserve">Virtual PPA (treated as grid imported electricity if there is no physical tracing of low carbon generation) </t>
  </si>
  <si>
    <t xml:space="preserve">Wholesale/retail grid import (no links to low carbon generation – taken as grid average) </t>
  </si>
  <si>
    <t>Other</t>
  </si>
  <si>
    <t>Total (sum-check)</t>
  </si>
  <si>
    <t>If applicable, please reference and attach the documents evidencing the contractual details of the electricity input arrangement (e.g. Power Purchase Agreement details covering ownership of the associated generation and agreed electricity amounts purchased).</t>
  </si>
  <si>
    <r>
      <t>MJ</t>
    </r>
    <r>
      <rPr>
        <b/>
        <vertAlign val="subscript"/>
        <sz val="11"/>
        <rFont val="Calibri"/>
        <family val="2"/>
      </rPr>
      <t>LHV</t>
    </r>
    <r>
      <rPr>
        <b/>
        <sz val="11"/>
        <rFont val="Calibri"/>
        <family val="2"/>
      </rPr>
      <t xml:space="preserve"> H</t>
    </r>
    <r>
      <rPr>
        <b/>
        <vertAlign val="subscript"/>
        <sz val="11"/>
        <rFont val="Calibri"/>
        <family val="2"/>
      </rPr>
      <t>2</t>
    </r>
    <r>
      <rPr>
        <b/>
        <sz val="11"/>
        <rFont val="Calibri"/>
        <family val="2"/>
      </rPr>
      <t>/MJ</t>
    </r>
    <r>
      <rPr>
        <b/>
        <vertAlign val="subscript"/>
        <sz val="11"/>
        <rFont val="Calibri"/>
        <family val="2"/>
      </rPr>
      <t>LHV</t>
    </r>
    <r>
      <rPr>
        <b/>
        <sz val="11"/>
        <rFont val="Calibri"/>
        <family val="2"/>
      </rPr>
      <t xml:space="preserve"> crop feedstock</t>
    </r>
  </si>
  <si>
    <r>
      <t>gCO</t>
    </r>
    <r>
      <rPr>
        <b/>
        <vertAlign val="subscript"/>
        <sz val="11"/>
        <rFont val="Calibri"/>
        <family val="2"/>
      </rPr>
      <t>2</t>
    </r>
    <r>
      <rPr>
        <b/>
        <sz val="11"/>
        <rFont val="Calibri"/>
        <family val="2"/>
      </rPr>
      <t>e/MJ</t>
    </r>
    <r>
      <rPr>
        <b/>
        <vertAlign val="subscript"/>
        <sz val="11"/>
        <rFont val="Calibri"/>
        <family val="2"/>
      </rPr>
      <t>LHV</t>
    </r>
    <r>
      <rPr>
        <b/>
        <sz val="11"/>
        <rFont val="Calibri"/>
        <family val="2"/>
      </rPr>
      <t xml:space="preserve"> H</t>
    </r>
    <r>
      <rPr>
        <b/>
        <vertAlign val="subscript"/>
        <sz val="11"/>
        <rFont val="Calibri"/>
        <family val="2"/>
      </rPr>
      <t>2</t>
    </r>
  </si>
  <si>
    <t>Hydrogen output</t>
  </si>
  <si>
    <t>What is the proposed production of hydrogen in the relevant year of operations, after any onsite compression and purification?</t>
  </si>
  <si>
    <t>tonnes/year</t>
  </si>
  <si>
    <t>What are the full load equivalent operating hours for the relevant year? This is the annual hydrogen production (tonnes/year) divided by maximum capacity (tonnes/hour), and will be lower than the operating hours in the row below.</t>
  </si>
  <si>
    <t>hours/year</t>
  </si>
  <si>
    <t>How many hours will your plant be operational for in the relevant year? This includes periods of full and part load.</t>
  </si>
  <si>
    <t>What is the proposed hydrogen output pressure of your production plant, after any onsite compression?</t>
  </si>
  <si>
    <t>MPa = (bar/10)</t>
  </si>
  <si>
    <t>What is the proposed hydrogen output purity of your production plant, after any onsite purification?</t>
  </si>
  <si>
    <t>by volume</t>
  </si>
  <si>
    <t>What is the proposed hydrogen output temperature of your production plant, after any onsite compression and purification?</t>
  </si>
  <si>
    <t>°C</t>
  </si>
  <si>
    <t>What is the expected source of the electricity that would theoretically be used for compression or purification up to the minimum levels in the Standard (if output pressure and/or purity are below the Standard levels), or for compression or purification from the Standard levels up to higher output levels specified (if Default data is selected for Energy supply emissions)?</t>
  </si>
  <si>
    <t>Do you agree to provide a Fugitive Hydrogen Emissions Risk Reduction Plan?</t>
  </si>
  <si>
    <t>Data sources</t>
  </si>
  <si>
    <t>Are the data used for the calculations in this workbook Projected, Default data or a Mix? 
NB: If selecting the "Other" pathway, POX pathway, Natural gas splitting producing solid carbon pathway, or if using Gasification pathways with a feedstock that does not match the feedstocks within the DESNZ default dataset, users are not allowed to select "Default" or "Mixed", and must select "Projected". If selecting Electrolysis using 'Other electricity input', Electrolysis using 'Stored electricity', Biomethane SMR pathways, and pathways with fossil gas feedstock not taken from the UK gas grid (e.g. ROG or imported natural gas), users must select "Projected" or "Mixed".</t>
  </si>
  <si>
    <t>If applicable, please explain your overall approach for determining projected data values, e.g. your own engineering design studies, literature surveys.</t>
  </si>
  <si>
    <t>Please provide references to documents that evidence the GHG calculations for the project (e.g. technical evidence, feedstock contracts, offtakes etc), and attach these documents alongside your submitted workbook(s)</t>
  </si>
  <si>
    <t>Next steps:</t>
  </si>
  <si>
    <t>1. Please go to the "View" tab of the Excel ribbon, to the workbook views section and select "Custom views". Alternatively, hold the Alt key, press W and then C.</t>
  </si>
  <si>
    <t>3. Please go to the System Boundary worksheet to provide a schematic representation of your system boundary and supply chain for the chosen consignment.</t>
  </si>
  <si>
    <t>Alternatively:</t>
  </si>
  <si>
    <t>1. Please click on the link below to take you to the System Boundary worksheet to provide a schematic representation of your system boundary and supply chain for the chosen consignment.</t>
  </si>
  <si>
    <t>Dashboard worksheet</t>
  </si>
  <si>
    <t>Please note, these links will not work if you have saved the file with any spaces or special characters (other than underscores) in the filename.</t>
  </si>
  <si>
    <t>GHG assessment system boundary</t>
  </si>
  <si>
    <t>Please provide a schematic representation of your system boundary and supply chain for the hydrogen consignment(s) analysed in this Workbook</t>
  </si>
  <si>
    <t>Please ensure that any flow values you provide in this schematic are consistent with the Initial questions worksheet and your processing plant worksheet</t>
  </si>
  <si>
    <t>Please note, this link will not work if you have saved the file with any spaces or special characters (other than underscores) in the filename.</t>
  </si>
  <si>
    <t>Example high-level supply chain given below for one reforming consignment - please delete and provide your own (likely much more detailed) version(s). Flow rates can be included if you wish. Multiple diagrams can be provided for multiple consignments (e.g. different feedstock inputs)</t>
  </si>
  <si>
    <t>Example high-level supply chain given below for one electrolysis consignment - please delete and provide your own (likely much more detailed) version(s). Flow rates can be included if you wish. Multiple diagrams can be provided for multiple consignments (e.g. different feedstock inputs)</t>
  </si>
  <si>
    <t>Summary dashboard</t>
  </si>
  <si>
    <t>Has the user answered all relevant questions?</t>
  </si>
  <si>
    <t>What pathway technology is proposed?</t>
  </si>
  <si>
    <t>Is the project sited in the UK and yet to be built?</t>
  </si>
  <si>
    <t>What are the pathway's likely future GHG emissions (annual weighted average across all consignments)?</t>
  </si>
  <si>
    <r>
      <t>gCO</t>
    </r>
    <r>
      <rPr>
        <vertAlign val="subscript"/>
        <sz val="11"/>
        <rFont val="Calibri"/>
        <family val="2"/>
      </rPr>
      <t>2</t>
    </r>
    <r>
      <rPr>
        <sz val="11"/>
        <rFont val="Calibri"/>
        <family val="2"/>
      </rPr>
      <t>e/MJ</t>
    </r>
    <r>
      <rPr>
        <vertAlign val="subscript"/>
        <sz val="11"/>
        <rFont val="Calibri"/>
        <family val="2"/>
      </rPr>
      <t>LHV</t>
    </r>
    <r>
      <rPr>
        <sz val="11"/>
        <rFont val="Calibri"/>
        <family val="2"/>
      </rPr>
      <t xml:space="preserve"> H</t>
    </r>
    <r>
      <rPr>
        <vertAlign val="subscript"/>
        <sz val="11"/>
        <rFont val="Calibri"/>
        <family val="2"/>
      </rPr>
      <t>2</t>
    </r>
  </si>
  <si>
    <t>What percentage of the total annual electricity input is low carbon?</t>
  </si>
  <si>
    <t>How many REGOs are likely to need to be cancelled for the year?</t>
  </si>
  <si>
    <t>MWhe/yr</t>
  </si>
  <si>
    <r>
      <t>If applicable, what percentage of process CO</t>
    </r>
    <r>
      <rPr>
        <vertAlign val="subscript"/>
        <sz val="11"/>
        <color rgb="FF000000"/>
        <rFont val="Calibri"/>
        <family val="2"/>
      </rPr>
      <t>2</t>
    </r>
    <r>
      <rPr>
        <sz val="11"/>
        <color rgb="FF000000"/>
        <rFont val="Calibri"/>
        <family val="2"/>
      </rPr>
      <t xml:space="preserve"> is captured as an annual average?</t>
    </r>
  </si>
  <si>
    <t>If applicable, is the project likely to be compliant with all of the biomass sustainability criteria?</t>
  </si>
  <si>
    <t>If applicable, will at least 50% of the biogenic hydrogen consignments derived from wastes or residues?</t>
  </si>
  <si>
    <t>If applicable, what is the crop ILUC factor to be reported?</t>
  </si>
  <si>
    <t>If applicable, is solid carbon sequestered in either cement/concrete or inert underground storage?</t>
  </si>
  <si>
    <t>Has the project agreed to report fugitive hydrogen emissions?</t>
  </si>
  <si>
    <t>Is the project likely to be compliant with the Low Carbon Hydrogen Standard?</t>
  </si>
  <si>
    <t>Consignments - please list all your consignments</t>
  </si>
  <si>
    <t>Please list all your hydrogen consignments, specifying the feedstock/main energy source used for each</t>
  </si>
  <si>
    <t>Data location</t>
  </si>
  <si>
    <r>
      <t>Consignment % of total hydrogen (MJ</t>
    </r>
    <r>
      <rPr>
        <b/>
        <vertAlign val="subscript"/>
        <sz val="11"/>
        <color rgb="FF000000"/>
        <rFont val="Calibri"/>
        <family val="2"/>
      </rPr>
      <t>LHV</t>
    </r>
    <r>
      <rPr>
        <b/>
        <sz val="11"/>
        <color rgb="FF000000"/>
        <rFont val="Calibri"/>
        <family val="2"/>
      </rPr>
      <t xml:space="preserve"> basis)</t>
    </r>
  </si>
  <si>
    <r>
      <t>Consignment GHG emissions (gCO</t>
    </r>
    <r>
      <rPr>
        <b/>
        <vertAlign val="subscript"/>
        <sz val="11"/>
        <rFont val="Calibri"/>
        <family val="2"/>
      </rPr>
      <t>2</t>
    </r>
    <r>
      <rPr>
        <b/>
        <sz val="11"/>
        <rFont val="Calibri"/>
        <family val="2"/>
      </rPr>
      <t>e/MJ</t>
    </r>
    <r>
      <rPr>
        <b/>
        <vertAlign val="subscript"/>
        <sz val="11"/>
        <rFont val="Calibri"/>
        <family val="2"/>
      </rPr>
      <t>LHV</t>
    </r>
    <r>
      <rPr>
        <b/>
        <sz val="11"/>
        <rFont val="Calibri"/>
        <family val="2"/>
      </rPr>
      <t xml:space="preserve"> H</t>
    </r>
    <r>
      <rPr>
        <b/>
        <vertAlign val="subscript"/>
        <sz val="11"/>
        <rFont val="Calibri"/>
        <family val="2"/>
      </rPr>
      <t>2</t>
    </r>
    <r>
      <rPr>
        <b/>
        <sz val="11"/>
        <rFont val="Calibri"/>
        <family val="2"/>
      </rPr>
      <t>)</t>
    </r>
  </si>
  <si>
    <t>Analysed in this workbook</t>
  </si>
  <si>
    <t>Not required</t>
  </si>
  <si>
    <t>Enter feedstock consignment 6 (if required)</t>
  </si>
  <si>
    <t>Weighted average (this is an annual average used for projected/default data prior to operations starting, and not for operational monthly reporting)</t>
  </si>
  <si>
    <t>Energy conversion factors</t>
  </si>
  <si>
    <t>From                                         To</t>
  </si>
  <si>
    <t>TJ</t>
  </si>
  <si>
    <t>Gcal</t>
  </si>
  <si>
    <t>Mtoe</t>
  </si>
  <si>
    <t>Mbtu</t>
  </si>
  <si>
    <t>GWh</t>
  </si>
  <si>
    <t>Terajoule (TJ)</t>
  </si>
  <si>
    <t>GigaCalorie (Gcal)</t>
  </si>
  <si>
    <t>million tonne of oil equivalent (Mtoe)</t>
  </si>
  <si>
    <t>million British thermal unit (Mbtu)</t>
  </si>
  <si>
    <t>GigaWatt hour (GWh)</t>
  </si>
  <si>
    <t>Mass conversion factors</t>
  </si>
  <si>
    <t>kg</t>
  </si>
  <si>
    <t>te</t>
  </si>
  <si>
    <t>lt</t>
  </si>
  <si>
    <t>st</t>
  </si>
  <si>
    <t>lb</t>
  </si>
  <si>
    <t>oz</t>
  </si>
  <si>
    <t>kilogramme (kg)</t>
  </si>
  <si>
    <t>tonne (te)</t>
  </si>
  <si>
    <t>long ton (lt)</t>
  </si>
  <si>
    <t>short ton (st)</t>
  </si>
  <si>
    <t>pound (lb)</t>
  </si>
  <si>
    <t>ounce (oz)</t>
  </si>
  <si>
    <t>Volume conversion factors</t>
  </si>
  <si>
    <t>gal US</t>
  </si>
  <si>
    <t>gal UK</t>
  </si>
  <si>
    <t>bbl</t>
  </si>
  <si>
    <t>ft3</t>
  </si>
  <si>
    <t>l</t>
  </si>
  <si>
    <t>m3</t>
  </si>
  <si>
    <t>US gallon (gal)</t>
  </si>
  <si>
    <t>UK gallon (gal)</t>
  </si>
  <si>
    <t>barrel (bbl)</t>
  </si>
  <si>
    <t>cubic feet (ft3)</t>
  </si>
  <si>
    <t>litre (l)</t>
  </si>
  <si>
    <t>cubic metre (m3)</t>
  </si>
  <si>
    <t>Length conversion factors</t>
  </si>
  <si>
    <t>in</t>
  </si>
  <si>
    <t>ft</t>
  </si>
  <si>
    <t>yd</t>
  </si>
  <si>
    <t>mi</t>
  </si>
  <si>
    <t>nmi</t>
  </si>
  <si>
    <t>m</t>
  </si>
  <si>
    <t>km</t>
  </si>
  <si>
    <t>inch (in)</t>
  </si>
  <si>
    <t>foot (ft)</t>
  </si>
  <si>
    <t>yard (yd)</t>
  </si>
  <si>
    <t>mile (mi)</t>
  </si>
  <si>
    <t>nautical mile (nmi)</t>
  </si>
  <si>
    <t>metre (m)</t>
  </si>
  <si>
    <t>kilometre (km)</t>
  </si>
  <si>
    <t>Power conversion factors</t>
  </si>
  <si>
    <t>HP</t>
  </si>
  <si>
    <t>kW</t>
  </si>
  <si>
    <t>horsepower (HP) - mechanic</t>
  </si>
  <si>
    <t>kilowatts (kW)</t>
  </si>
  <si>
    <t>Pressure conversion factors</t>
  </si>
  <si>
    <t>Bar</t>
  </si>
  <si>
    <t>MPa</t>
  </si>
  <si>
    <t>Metric Prefixes</t>
  </si>
  <si>
    <t>10^x</t>
  </si>
  <si>
    <t>Prefix</t>
  </si>
  <si>
    <t>Symbol</t>
  </si>
  <si>
    <t>10^24</t>
  </si>
  <si>
    <t>yotta</t>
  </si>
  <si>
    <t>Y</t>
  </si>
  <si>
    <t>10^21</t>
  </si>
  <si>
    <t>zetta</t>
  </si>
  <si>
    <t>Z</t>
  </si>
  <si>
    <t>10^18</t>
  </si>
  <si>
    <t>exa</t>
  </si>
  <si>
    <t>E</t>
  </si>
  <si>
    <t>10^15</t>
  </si>
  <si>
    <t>peta</t>
  </si>
  <si>
    <t>P</t>
  </si>
  <si>
    <t>10^12</t>
  </si>
  <si>
    <t>tera</t>
  </si>
  <si>
    <t>T</t>
  </si>
  <si>
    <t>10^9</t>
  </si>
  <si>
    <t>giga</t>
  </si>
  <si>
    <t>G</t>
  </si>
  <si>
    <t>10^6</t>
  </si>
  <si>
    <t>mega</t>
  </si>
  <si>
    <t>M</t>
  </si>
  <si>
    <t>10^3</t>
  </si>
  <si>
    <t>kilo</t>
  </si>
  <si>
    <t>k</t>
  </si>
  <si>
    <t>10^2</t>
  </si>
  <si>
    <t>hecto</t>
  </si>
  <si>
    <t>h</t>
  </si>
  <si>
    <t>10^1</t>
  </si>
  <si>
    <t>deka</t>
  </si>
  <si>
    <t>da</t>
  </si>
  <si>
    <t>10^-1</t>
  </si>
  <si>
    <t>deci</t>
  </si>
  <si>
    <t>d</t>
  </si>
  <si>
    <t>10^-2</t>
  </si>
  <si>
    <t>centi</t>
  </si>
  <si>
    <t>c</t>
  </si>
  <si>
    <t>10^-3</t>
  </si>
  <si>
    <t>milli</t>
  </si>
  <si>
    <t>10^-6</t>
  </si>
  <si>
    <t>micro</t>
  </si>
  <si>
    <t>10^-9</t>
  </si>
  <si>
    <t>nano</t>
  </si>
  <si>
    <t>n</t>
  </si>
  <si>
    <t>10^-12</t>
  </si>
  <si>
    <t>pico</t>
  </si>
  <si>
    <t>p</t>
  </si>
  <si>
    <t>10^-15</t>
  </si>
  <si>
    <t>femto</t>
  </si>
  <si>
    <t>f</t>
  </si>
  <si>
    <t>10^-18</t>
  </si>
  <si>
    <t>atto</t>
  </si>
  <si>
    <t>a</t>
  </si>
  <si>
    <t>10^-21</t>
  </si>
  <si>
    <t>zepto</t>
  </si>
  <si>
    <t>z</t>
  </si>
  <si>
    <t>10^-24</t>
  </si>
  <si>
    <t>yocto</t>
  </si>
  <si>
    <t>y</t>
  </si>
  <si>
    <t>Sources</t>
  </si>
  <si>
    <t>http://wds.iea.org/wds/pdf/documentation_co2_2012.pdf</t>
  </si>
  <si>
    <t>http://www.exo.net/~pauld/physics/Metric_prefixes.html</t>
  </si>
  <si>
    <t>Global warming potentials (GWP 100)</t>
  </si>
  <si>
    <t>GWP factors over a 100 year period, without climate feedback</t>
  </si>
  <si>
    <t>Greenhouse gas</t>
  </si>
  <si>
    <r>
      <t>GWP factor (in CO</t>
    </r>
    <r>
      <rPr>
        <b/>
        <vertAlign val="subscript"/>
        <sz val="11"/>
        <color rgb="FF000098"/>
        <rFont val="Calibri"/>
        <family val="2"/>
        <scheme val="minor"/>
      </rPr>
      <t>2e</t>
    </r>
    <r>
      <rPr>
        <b/>
        <sz val="11"/>
        <color rgb="FF000098"/>
        <rFont val="Calibri"/>
        <family val="2"/>
        <scheme val="minor"/>
      </rPr>
      <t xml:space="preserve"> g/g)</t>
    </r>
  </si>
  <si>
    <t>Source</t>
  </si>
  <si>
    <r>
      <t>CO</t>
    </r>
    <r>
      <rPr>
        <vertAlign val="subscript"/>
        <sz val="11"/>
        <color rgb="FF000000"/>
        <rFont val="Calibri"/>
        <family val="2"/>
        <scheme val="minor"/>
      </rPr>
      <t>2</t>
    </r>
    <r>
      <rPr>
        <sz val="11"/>
        <color rgb="FF000000"/>
        <rFont val="Calibri"/>
        <family val="2"/>
        <scheme val="minor"/>
      </rPr>
      <t>, carbon dioxide</t>
    </r>
  </si>
  <si>
    <t>IPCC Fifth Assessment Reports (AR5), GWP100 without climate feedback</t>
  </si>
  <si>
    <r>
      <t>CH</t>
    </r>
    <r>
      <rPr>
        <vertAlign val="subscript"/>
        <sz val="11"/>
        <color rgb="FF000000"/>
        <rFont val="Calibri"/>
        <family val="2"/>
        <scheme val="minor"/>
      </rPr>
      <t>4</t>
    </r>
    <r>
      <rPr>
        <sz val="11"/>
        <color rgb="FF000000"/>
        <rFont val="Calibri"/>
        <family val="2"/>
        <scheme val="minor"/>
      </rPr>
      <t>, methane</t>
    </r>
  </si>
  <si>
    <r>
      <t>N</t>
    </r>
    <r>
      <rPr>
        <vertAlign val="subscript"/>
        <sz val="11"/>
        <color rgb="FF000000"/>
        <rFont val="Calibri"/>
        <family val="2"/>
        <scheme val="minor"/>
      </rPr>
      <t>2</t>
    </r>
    <r>
      <rPr>
        <sz val="11"/>
        <color rgb="FF000000"/>
        <rFont val="Calibri"/>
        <family val="2"/>
        <scheme val="minor"/>
      </rPr>
      <t>O, nitrous oxide</t>
    </r>
  </si>
  <si>
    <r>
      <t>SF</t>
    </r>
    <r>
      <rPr>
        <vertAlign val="subscript"/>
        <sz val="11"/>
        <color rgb="FF000000"/>
        <rFont val="Calibri"/>
        <family val="2"/>
        <scheme val="minor"/>
      </rPr>
      <t>6</t>
    </r>
  </si>
  <si>
    <t>HFC-23</t>
  </si>
  <si>
    <t>HFC-32</t>
  </si>
  <si>
    <t>HFC-41</t>
  </si>
  <si>
    <t>HFC-125</t>
  </si>
  <si>
    <t>HFC-134</t>
  </si>
  <si>
    <t>HFC-134a</t>
  </si>
  <si>
    <t>HFC-143</t>
  </si>
  <si>
    <t>HFC-143a</t>
  </si>
  <si>
    <t>HFC-152</t>
  </si>
  <si>
    <t>HFC-152a</t>
  </si>
  <si>
    <t>HFC-161</t>
  </si>
  <si>
    <t>HFC-227ea</t>
  </si>
  <si>
    <t>HFC-236cb</t>
  </si>
  <si>
    <t>HFC-236ea</t>
  </si>
  <si>
    <t>HFC-236fa</t>
  </si>
  <si>
    <t>HFC-245ca</t>
  </si>
  <si>
    <t>HFC-245fa</t>
  </si>
  <si>
    <t>HFC-365mfc</t>
  </si>
  <si>
    <t>HFC-43-10mee</t>
  </si>
  <si>
    <t>Indirect Land Use Change (ILUC) factors for crop feedstock</t>
  </si>
  <si>
    <t>Crop</t>
  </si>
  <si>
    <r>
      <t>gCO</t>
    </r>
    <r>
      <rPr>
        <b/>
        <vertAlign val="subscript"/>
        <sz val="11"/>
        <color rgb="FF000098"/>
        <rFont val="Calibri"/>
        <family val="2"/>
        <scheme val="minor"/>
      </rPr>
      <t>2e</t>
    </r>
    <r>
      <rPr>
        <b/>
        <sz val="11"/>
        <color rgb="FF000098"/>
        <rFont val="Calibri"/>
        <family val="2"/>
        <scheme val="minor"/>
      </rPr>
      <t>/MJ LHV feedstock</t>
    </r>
  </si>
  <si>
    <t>Cereals and other starch-rich crops</t>
  </si>
  <si>
    <t>Sugar crops</t>
  </si>
  <si>
    <t>Oil crops</t>
  </si>
  <si>
    <t>Other crop/purpose grown feedstock</t>
  </si>
  <si>
    <t>Other biomass feedstock group</t>
  </si>
  <si>
    <t>Drop-down menu choices</t>
  </si>
  <si>
    <t>Production pathway</t>
  </si>
  <si>
    <t>Pathways with restricted data types</t>
  </si>
  <si>
    <t>Status</t>
  </si>
  <si>
    <t>Feedstock location</t>
  </si>
  <si>
    <t>Data type</t>
  </si>
  <si>
    <t>Fossil source</t>
  </si>
  <si>
    <t>Gas grid</t>
  </si>
  <si>
    <t>CO2</t>
  </si>
  <si>
    <t>Solid Carbon</t>
  </si>
  <si>
    <t>Credit</t>
  </si>
  <si>
    <t>Feedstock</t>
  </si>
  <si>
    <t>Offset</t>
  </si>
  <si>
    <t>Sustainability</t>
  </si>
  <si>
    <t>Bio</t>
  </si>
  <si>
    <t>Theoretical power input</t>
  </si>
  <si>
    <t>Biomethane</t>
  </si>
  <si>
    <t>Data type for categories</t>
  </si>
  <si>
    <t>Restricted data type for categories</t>
  </si>
  <si>
    <t>Crop groups for iLUC</t>
  </si>
  <si>
    <t>Years</t>
  </si>
  <si>
    <t>Conditioning formatting switch</t>
  </si>
  <si>
    <t>Case</t>
  </si>
  <si>
    <t>Risk</t>
  </si>
  <si>
    <t>Default feedstocks</t>
  </si>
  <si>
    <t>Electrolysis using wind/solar electricity</t>
  </si>
  <si>
    <t>Yes, the plant is not yet operational</t>
  </si>
  <si>
    <t>UK origin</t>
  </si>
  <si>
    <t>Projected</t>
  </si>
  <si>
    <t>Steam methane reformer (SMR)</t>
  </si>
  <si>
    <t>Directly connected to transmission network</t>
  </si>
  <si>
    <t>Sequestered in permanent storage</t>
  </si>
  <si>
    <t>Used in cement/concrete</t>
  </si>
  <si>
    <t>The emissions are claimed or credited elsewhere</t>
  </si>
  <si>
    <t>Electricity</t>
  </si>
  <si>
    <t>Offsets are not used in projections</t>
  </si>
  <si>
    <t>Yes</t>
  </si>
  <si>
    <t>Waste gasification with CCS</t>
  </si>
  <si>
    <t>Wind/solar electricity</t>
  </si>
  <si>
    <t>Dedicated pipeline/direct connection</t>
  </si>
  <si>
    <t>On</t>
  </si>
  <si>
    <t>Best case</t>
  </si>
  <si>
    <t>tonnes/yr</t>
  </si>
  <si>
    <t>Forestry residues</t>
  </si>
  <si>
    <t>Electrolysis using nuclear electricity</t>
  </si>
  <si>
    <t>Natural gas partial oxidation (POX) with CCS</t>
  </si>
  <si>
    <t>No</t>
  </si>
  <si>
    <t>Non-UK origin</t>
  </si>
  <si>
    <t>Default</t>
  </si>
  <si>
    <t>Autothermal reformer (ATR)</t>
  </si>
  <si>
    <t>Directly connected to intermediate/medium pressure distribution network</t>
  </si>
  <si>
    <t>Utilised</t>
  </si>
  <si>
    <t>Inert underground storage</t>
  </si>
  <si>
    <t>The emissions are not claimed or credited elsewhere</t>
  </si>
  <si>
    <t>Fossil natural gas</t>
  </si>
  <si>
    <t>Offsets are used in projections</t>
  </si>
  <si>
    <t>Waste gasification without CCS</t>
  </si>
  <si>
    <t>Dedicated truck</t>
  </si>
  <si>
    <t>Mixed</t>
  </si>
  <si>
    <t>Off</t>
  </si>
  <si>
    <t>Annual average case</t>
  </si>
  <si>
    <t>Analysed in another workbook</t>
  </si>
  <si>
    <t>MWh/yr (LHV)</t>
  </si>
  <si>
    <t>Food waste biomethane</t>
  </si>
  <si>
    <t>Electrolysis using grid electricity</t>
  </si>
  <si>
    <t>Natural gas splitting producing solid carbon</t>
  </si>
  <si>
    <t>Partial oxidation (POX)</t>
  </si>
  <si>
    <t>Directly connected to low pressure distribution network</t>
  </si>
  <si>
    <t>Mix of permanent storage and utilisation</t>
  </si>
  <si>
    <t>Not applicable</t>
  </si>
  <si>
    <t>Refinery off gas (residue with counterfactual)</t>
  </si>
  <si>
    <t>Biomethane autothermal reforming (ATR) without CCS</t>
  </si>
  <si>
    <t>Grid electricity</t>
  </si>
  <si>
    <t>Dedicated ship</t>
  </si>
  <si>
    <t>Municipal Solid Waste</t>
  </si>
  <si>
    <t>Electrolysis using stored electricity</t>
  </si>
  <si>
    <t>Electrolysis using mixed electricity inputs</t>
  </si>
  <si>
    <t>Not directly connected to gas grid</t>
  </si>
  <si>
    <t>Refinery off gas (residue without counterfactual)</t>
  </si>
  <si>
    <t>Biomethane autothermal reforming (ATR) with CCS</t>
  </si>
  <si>
    <t>Electrolysis using other electricity input</t>
  </si>
  <si>
    <t>Crude oil via refinery off gas (co-product)</t>
  </si>
  <si>
    <t>Electricity input mix as above</t>
  </si>
  <si>
    <t>Waste/residue fossil feedstock</t>
  </si>
  <si>
    <t>Natural gas steam methane reformer (SMR) with CCS</t>
  </si>
  <si>
    <t>Biomethane steam methane reformer (SMR) with CCS</t>
  </si>
  <si>
    <t>Other fossil feedstock</t>
  </si>
  <si>
    <t>Natural gas autothermal reformer (ATR) with CCS</t>
  </si>
  <si>
    <t>Biomethane steam methane reformer (SMR) without CCS</t>
  </si>
  <si>
    <t>Forest biomass, including forest residues/wastes</t>
  </si>
  <si>
    <t>Refinery off gas (ROG) autothermal reformer (ATR) with CCS</t>
  </si>
  <si>
    <t>Biogenic residues, not from agriculture, aquaculture, fisheries or forestry</t>
  </si>
  <si>
    <t>Biogenic wastes, not from agriculture, aquaculture, fisheries or forestry</t>
  </si>
  <si>
    <t>Agricultural biogenic residues or wastes</t>
  </si>
  <si>
    <t>Other biogenic feedstock</t>
  </si>
  <si>
    <t>Mixed biogenic/fossil feedstock (including MSW, RDF)</t>
  </si>
  <si>
    <t>Biomethane autothermal reformer (ATR) with CCS</t>
  </si>
  <si>
    <t>Biomethane autothermal reformer (ATR) without CCS</t>
  </si>
  <si>
    <t>Biomass gasification with CCS</t>
  </si>
  <si>
    <t>Biomass gasification without CCS</t>
  </si>
  <si>
    <t>Conditional formatting master switch</t>
  </si>
  <si>
    <t>Crude oil upstream intensity</t>
  </si>
  <si>
    <t>Pathways that utilise crude oil as a feedstock for hydrogen production may use the values provided in the table below.</t>
  </si>
  <si>
    <t>If hydrogen producers have specific country data for the crude oil used in their process, this data can be used instead of the values provided below.</t>
  </si>
  <si>
    <t>Upstream crude oil carbon intensities are taken from Masnadi et al. (2018) Global carbon intensity of crude oil production https://www.science.org/doi/10.1126/science.aar6859</t>
  </si>
  <si>
    <t>Country</t>
  </si>
  <si>
    <r>
      <t>gCO</t>
    </r>
    <r>
      <rPr>
        <b/>
        <vertAlign val="subscript"/>
        <sz val="11"/>
        <color theme="1"/>
        <rFont val="Calibri"/>
        <family val="2"/>
        <scheme val="minor"/>
      </rPr>
      <t>2</t>
    </r>
    <r>
      <rPr>
        <b/>
        <sz val="11"/>
        <color theme="1"/>
        <rFont val="Calibri"/>
        <family val="2"/>
        <scheme val="minor"/>
      </rPr>
      <t>e/MJ</t>
    </r>
    <r>
      <rPr>
        <b/>
        <vertAlign val="subscript"/>
        <sz val="11"/>
        <color theme="1"/>
        <rFont val="Calibri"/>
        <family val="2"/>
        <scheme val="minor"/>
      </rPr>
      <t>LHV</t>
    </r>
  </si>
  <si>
    <t>Afghanistan</t>
  </si>
  <si>
    <t>Albania</t>
  </si>
  <si>
    <t>Algeria</t>
  </si>
  <si>
    <t>Angola</t>
  </si>
  <si>
    <t>Argentina</t>
  </si>
  <si>
    <t>Australia</t>
  </si>
  <si>
    <t>Austria</t>
  </si>
  <si>
    <t>Azerbaijan</t>
  </si>
  <si>
    <t>Bahrain</t>
  </si>
  <si>
    <t>Barbados</t>
  </si>
  <si>
    <t>Belize</t>
  </si>
  <si>
    <t>Bolivia</t>
  </si>
  <si>
    <t>Brazil</t>
  </si>
  <si>
    <t>Brunei</t>
  </si>
  <si>
    <t>Bulgaria</t>
  </si>
  <si>
    <t>Cameroon</t>
  </si>
  <si>
    <t>Canada</t>
  </si>
  <si>
    <t>Chad</t>
  </si>
  <si>
    <t>Chile</t>
  </si>
  <si>
    <t>China</t>
  </si>
  <si>
    <t>Colombia</t>
  </si>
  <si>
    <t>Cote d'Ivoire</t>
  </si>
  <si>
    <t>Croatia</t>
  </si>
  <si>
    <t>Cuba</t>
  </si>
  <si>
    <t>Democratic Republic of Congo</t>
  </si>
  <si>
    <t>Denmark</t>
  </si>
  <si>
    <t>Ecuador</t>
  </si>
  <si>
    <t>Egypt</t>
  </si>
  <si>
    <t>Equatorial Guinea</t>
  </si>
  <si>
    <t>France</t>
  </si>
  <si>
    <t>Gabon</t>
  </si>
  <si>
    <t>Georgia</t>
  </si>
  <si>
    <t>Germany</t>
  </si>
  <si>
    <t>Ghana</t>
  </si>
  <si>
    <t>Greece</t>
  </si>
  <si>
    <t>Guatemala</t>
  </si>
  <si>
    <t>Hungary</t>
  </si>
  <si>
    <t>India</t>
  </si>
  <si>
    <t>Indonesia</t>
  </si>
  <si>
    <t>Iran</t>
  </si>
  <si>
    <t>Iraq</t>
  </si>
  <si>
    <t>Italy</t>
  </si>
  <si>
    <t>Japan</t>
  </si>
  <si>
    <t>Jordan</t>
  </si>
  <si>
    <t>Kazakhstan</t>
  </si>
  <si>
    <t>Kuwait</t>
  </si>
  <si>
    <t>Kyrgyzstan</t>
  </si>
  <si>
    <t>Latvia</t>
  </si>
  <si>
    <t>Libya</t>
  </si>
  <si>
    <t>Lithuania</t>
  </si>
  <si>
    <t>Malaysia</t>
  </si>
  <si>
    <t>Mauritania</t>
  </si>
  <si>
    <t>Mexico</t>
  </si>
  <si>
    <t>Morocco</t>
  </si>
  <si>
    <t>Myanmar</t>
  </si>
  <si>
    <t>Netherlands</t>
  </si>
  <si>
    <t>New Zealand</t>
  </si>
  <si>
    <t>Niger</t>
  </si>
  <si>
    <t>Nigeria</t>
  </si>
  <si>
    <t>Norway</t>
  </si>
  <si>
    <t>Oman</t>
  </si>
  <si>
    <t>Pakistan</t>
  </si>
  <si>
    <t>Papua New Guinea</t>
  </si>
  <si>
    <t>Peru</t>
  </si>
  <si>
    <t>Philippines</t>
  </si>
  <si>
    <t>Poland</t>
  </si>
  <si>
    <t>Qatar</t>
  </si>
  <si>
    <t>Republic of Congo</t>
  </si>
  <si>
    <t>Romania</t>
  </si>
  <si>
    <t>Russian Federation</t>
  </si>
  <si>
    <t>Saudi Arabia</t>
  </si>
  <si>
    <t>Serbia</t>
  </si>
  <si>
    <t>Spain</t>
  </si>
  <si>
    <t>Sudan</t>
  </si>
  <si>
    <t>Suriname</t>
  </si>
  <si>
    <t>Syria</t>
  </si>
  <si>
    <t>Tajikistan</t>
  </si>
  <si>
    <t>Thailand</t>
  </si>
  <si>
    <t>Trinidad and Tobago</t>
  </si>
  <si>
    <t>Tunisia</t>
  </si>
  <si>
    <t>Turkey</t>
  </si>
  <si>
    <t>Turkmenistan</t>
  </si>
  <si>
    <t>Ukraine</t>
  </si>
  <si>
    <t>United Arab Emirates</t>
  </si>
  <si>
    <t>United Kingdom</t>
  </si>
  <si>
    <t>United States</t>
  </si>
  <si>
    <t>Uzbekistan</t>
  </si>
  <si>
    <t>Venezuela</t>
  </si>
  <si>
    <t>Vietnam</t>
  </si>
  <si>
    <t>Yemen</t>
  </si>
  <si>
    <t>Electricity sourced from specific generators</t>
  </si>
  <si>
    <t>Typical emissions intensities are not provided for biomass or waste electricity generators given the diversity of input feedstocks and conversion efficiencies.</t>
  </si>
  <si>
    <t>If the hydrogen production facility (or Electricity Storage System) consuming electricity is co-located with the electricity generation asset, the values in the table below can be used directly.</t>
  </si>
  <si>
    <t>If the hydrogen production facility (or Electricity Storage System) consuming electricity is not co-located with the electricity generation asset, then any transmission and distribution (T&amp;D) losses will need to be accounted for, following Annex B guidance. For pre-operational facilities, the projected T&amp;D losses may be used instead</t>
  </si>
  <si>
    <t>Generator</t>
  </si>
  <si>
    <r>
      <t>gCO</t>
    </r>
    <r>
      <rPr>
        <b/>
        <vertAlign val="subscript"/>
        <sz val="11"/>
        <color theme="1"/>
        <rFont val="Calibri"/>
        <family val="2"/>
        <scheme val="minor"/>
      </rPr>
      <t>2</t>
    </r>
    <r>
      <rPr>
        <b/>
        <sz val="11"/>
        <color theme="1"/>
        <rFont val="Calibri"/>
        <family val="2"/>
        <scheme val="minor"/>
      </rPr>
      <t>e/kWh</t>
    </r>
    <r>
      <rPr>
        <b/>
        <vertAlign val="subscript"/>
        <sz val="11"/>
        <color theme="1"/>
        <rFont val="Calibri"/>
        <family val="2"/>
        <scheme val="minor"/>
      </rPr>
      <t>e</t>
    </r>
  </si>
  <si>
    <r>
      <t>gCO</t>
    </r>
    <r>
      <rPr>
        <b/>
        <vertAlign val="subscript"/>
        <sz val="11"/>
        <color theme="1"/>
        <rFont val="Calibri"/>
        <family val="2"/>
        <scheme val="minor"/>
      </rPr>
      <t>2</t>
    </r>
    <r>
      <rPr>
        <b/>
        <sz val="11"/>
        <color theme="1"/>
        <rFont val="Calibri"/>
        <family val="2"/>
        <scheme val="minor"/>
      </rPr>
      <t>e/MJ</t>
    </r>
    <r>
      <rPr>
        <b/>
        <vertAlign val="subscript"/>
        <sz val="11"/>
        <color theme="1"/>
        <rFont val="Calibri"/>
        <family val="2"/>
        <scheme val="minor"/>
      </rPr>
      <t>e</t>
    </r>
  </si>
  <si>
    <t>Sources &amp; supporting notes</t>
  </si>
  <si>
    <t>Onshore wind</t>
  </si>
  <si>
    <t>JEC (2020) Well-to-tank report v5. WDEL1. https://publications.jrc.ec.europa.eu/repository/handle/JRC119036</t>
  </si>
  <si>
    <t>Offshore wind</t>
  </si>
  <si>
    <t>Solar</t>
  </si>
  <si>
    <t>IPCC (2014) Technology-specific cost and performance parameters. Table A.III.2. https://www.ipcc.ch/site/assets/uploads/2018/02/ipcc_wg3_ar5_annex-iii.pdf</t>
  </si>
  <si>
    <t>Hydro-electric dam</t>
  </si>
  <si>
    <t>IPCC (2014) Technology-specific cost and performance parameters. Table A.III.2. https://www.ipcc.ch/site/assets/uploads/2018/02/ipcc_wg3_ar5_annex-iii.pdf. Note that UK methane emissions are uncertain, but are taken to be zero (rather than using IPCC global methane data), based on data received from G-RES modelling team regarding the 8 UK hydro reservoirs they have information for https://g-res.hydropower.org/</t>
  </si>
  <si>
    <t>Run-of-river hydro</t>
  </si>
  <si>
    <t>Geothermal</t>
  </si>
  <si>
    <t>IPCC (2014) Technology-specific cost and performance parameters. Table A.III.2. Assuming geothermal power generation has not led to any increase in venting of geological CO2. Any increase requires a projected emissions factor to be used. https://www.ipcc.ch/site/assets/uploads/2018/02/ipcc_wg3_ar5_annex-iii.pdf</t>
  </si>
  <si>
    <t>Natural gas CCGT</t>
  </si>
  <si>
    <t>JEC (2020) Well-to-tank report v5. GPEL1a. https://publications.jrc.ec.europa.eu/repository/handle/JRC119036</t>
  </si>
  <si>
    <t>Natural gas CCGT + CCS</t>
  </si>
  <si>
    <t>JEC (2020) Well-to-tank report v5. GPEL1c. https://publications.jrc.ec.europa.eu/repository/handle/JRC119036</t>
  </si>
  <si>
    <t>Oil</t>
  </si>
  <si>
    <t>JEC (2020) Well-to-tank report v5. FOEL1. https://publications.jrc.ec.europa.eu/repository/handle/JRC119036</t>
  </si>
  <si>
    <t>Coal</t>
  </si>
  <si>
    <t>JEC (2020) Well-to-tank report v5. KOEL1. https://publications.jrc.ec.europa.eu/repository/handle/JRC119036</t>
  </si>
  <si>
    <t>Coal + CCS</t>
  </si>
  <si>
    <t>JEC (2020) Well-to-tank report v5. KOEL2C. https://publications.jrc.ec.europa.eu/repository/handle/JRC119036</t>
  </si>
  <si>
    <t>Nuclear</t>
  </si>
  <si>
    <t>JEC (2020) Well-to-tank report v5. NUEL1. https://publications.jrc.ec.europa.eu/repository/handle/JRC119036</t>
  </si>
  <si>
    <t>Projected UK grid average electricity intensity for pre-operational facilities</t>
  </si>
  <si>
    <t>For pre-operational hydrogen production facilities, or pre-operational electricity storage systems, the table below provides the future delivered GHG intensity of UK grid average electricity to be used</t>
  </si>
  <si>
    <t>These are the UK Government's Green Book assumptions, Data Tables 1-19, Table 1, column I (for industrial consumption), available from https://www.gov.uk/government/publications/valuation-of-energy-use-and-greenhouse-gas-emissions-for-appraisal</t>
  </si>
  <si>
    <t>Note that actual real-world grid average GHG intensity factors during facility operations will be different to these projections, as compliance with the Standard relies on using actual reported GB/NI data every 30 minutes.</t>
  </si>
  <si>
    <t>These values include generation and transmission &amp; distribution losses to an industrial user, but currently exclude any emissions upstream from the electricity generation plants (e.g. from extraction and transport of fossil natural gas to UK CCGT power stations) which do not currently need to be included within the scope of the LCHS</t>
  </si>
  <si>
    <t>Year</t>
  </si>
  <si>
    <r>
      <t>gCO</t>
    </r>
    <r>
      <rPr>
        <b/>
        <vertAlign val="subscript"/>
        <sz val="11"/>
        <color rgb="FF000000"/>
        <rFont val="Calibri"/>
        <family val="2"/>
        <scheme val="minor"/>
      </rPr>
      <t>2</t>
    </r>
    <r>
      <rPr>
        <b/>
        <sz val="11"/>
        <color rgb="FF000000"/>
        <rFont val="Calibri"/>
        <family val="2"/>
        <scheme val="minor"/>
      </rPr>
      <t>e/kWh</t>
    </r>
    <r>
      <rPr>
        <b/>
        <vertAlign val="subscript"/>
        <sz val="11"/>
        <color rgb="FF000000"/>
        <rFont val="Calibri"/>
        <family val="2"/>
        <scheme val="minor"/>
      </rPr>
      <t>e</t>
    </r>
  </si>
  <si>
    <r>
      <t>gCO</t>
    </r>
    <r>
      <rPr>
        <b/>
        <vertAlign val="subscript"/>
        <sz val="11"/>
        <color rgb="FF000000"/>
        <rFont val="Calibri"/>
        <family val="2"/>
        <scheme val="minor"/>
      </rPr>
      <t>2</t>
    </r>
    <r>
      <rPr>
        <b/>
        <sz val="11"/>
        <color rgb="FF000000"/>
        <rFont val="Calibri"/>
        <family val="2"/>
        <scheme val="minor"/>
      </rPr>
      <t>e/MJ</t>
    </r>
    <r>
      <rPr>
        <b/>
        <vertAlign val="subscript"/>
        <sz val="11"/>
        <color rgb="FF000000"/>
        <rFont val="Calibri"/>
        <family val="2"/>
        <scheme val="minor"/>
      </rPr>
      <t xml:space="preserve">e </t>
    </r>
  </si>
  <si>
    <t>Self-discharge loss values for different Electricity Storage Systems</t>
  </si>
  <si>
    <t>Electricity Storage System operators shall use the 30 minute self-discharge loss values provided in the table below to estimate the self-discharge losses when updating the weighted average GHG intensity of the electricity storage system.</t>
  </si>
  <si>
    <t>In case the operator does no provide evidence of the type of battery chemistry, self-discharge data for nickel metal hydride shall be used.</t>
  </si>
  <si>
    <t>For any chemistries not listed, the battery operators shall provide a self-discharge loss value with supporting evidence.</t>
  </si>
  <si>
    <t>Electricity Storage System</t>
  </si>
  <si>
    <t>Loss per month (for info only)</t>
  </si>
  <si>
    <t>Loss per 30 minutes</t>
  </si>
  <si>
    <t>Lithium ion battery</t>
  </si>
  <si>
    <t xml:space="preserve">Umweltbundesamt Table 3, Page 20, Li Ion Battery https://www.umweltbundesamt.de/sites/default/files/medien/publikation/long/4414.pdf </t>
  </si>
  <si>
    <t>Lead acid battery</t>
  </si>
  <si>
    <t xml:space="preserve">iSEA (2012) Technology Overview on Electricity Storage. https://sei.info.yorku.ca/files/2013/03/Sauer2.pdf </t>
  </si>
  <si>
    <t>Nickel cadmium battery</t>
  </si>
  <si>
    <t>Nickel metal hydride battery</t>
  </si>
  <si>
    <t>LSD-nickel metal hydride battery</t>
  </si>
  <si>
    <t>Zinc manganese battery</t>
  </si>
  <si>
    <t>Pumped storage hydroelectricity</t>
  </si>
  <si>
    <t>Compressed air energy storage</t>
  </si>
  <si>
    <t>DESNZ (2022) Benefits of Long Duration Electricity Storage https://assets.publishing.service.gov.uk/government/uploads/system/uploads/attachment_data/file/1095997/benefits-long-duration-electricity-storage.pdf</t>
  </si>
  <si>
    <t>Liquid air energy storage</t>
  </si>
  <si>
    <t>Flywheel</t>
  </si>
  <si>
    <t>~100%</t>
  </si>
  <si>
    <t>Gravity-based energy storage</t>
  </si>
  <si>
    <t>Hunt, J. D. et al. (2023) Underground Gravity Energy Storage: A Solution for Long-Term Energy Storage. Energies. 16 (2), 825. https://www.mdpi.com/1996-1073/16/2/825</t>
  </si>
  <si>
    <t>Liquid CO2 energy storage</t>
  </si>
  <si>
    <t xml:space="preserve">Vecchi, A. et al. (2022) Carnot Battery development: A review on system performance, applications and commerical state-of-the-art. Journal of Energy Storage. Volume 55, Part 9. https://www.sciencedirect.com/science/article/pii/S2352152X22017704 </t>
  </si>
  <si>
    <t>Sensible heat energy storage</t>
  </si>
  <si>
    <t>Kebede, A. A. et al. (2022) A comprehensive review of stationary energy storage devices for large scale renewable energy sources grid integration. Renewable and Sustainable Energy Reviews. Volume 159. https://www.sciencedirect.com/science/article/pii/S1364032122001368</t>
  </si>
  <si>
    <t>Latent heat energy storage</t>
  </si>
  <si>
    <t>Thermochemical energy storage</t>
  </si>
  <si>
    <t>Supercapacitor</t>
  </si>
  <si>
    <t>Superconducting magnetic energy storage</t>
  </si>
  <si>
    <t>~99%</t>
  </si>
  <si>
    <t>Round Trip Efficiency values for different Electricity Storage Systems</t>
  </si>
  <si>
    <t>Round trip efficiency</t>
  </si>
  <si>
    <t>Heating and cooling loss of battery Figures 18 and 19 https://onlinelibrary.wiley.com/doi/epdf/10.1002/ecj.12221
Cooling equipment COP efficiency Air chiller and water chiller https://www.sciencedirect.com/science/article/pii/S1876610214033372#:~:text=Under%20standard%20rating%20conditions%20at,6.39%20for%20water%2Dcooled%20chillers
Battery Charging and Discharging Losses: Frontiers of Mechanical Engineering, Table 1, https://link.springer.com/article/10.1007/s11465-018-0516-8</t>
  </si>
  <si>
    <t xml:space="preserve">McKinsey&amp;Company (2021) Net-zero power: Long duration energy storage for a renewable grid. https://www.mckinsey.com/~/media/mckinsey/business%20functions/sustainability/our%20insights/net%20zero%20power%20long%20duration%20energy%20storage%20for%20a%20renewable%20grid/net-zero-power-long-duration-energy-storage-for-a-renewable-grid.pdf </t>
  </si>
  <si>
    <t xml:space="preserve">Aneke, M. (2016) Energy storage technologies and real life applications - A state of the art review. Applied Energy, 179. pp. 350-377. https://eprints.whiterose.ac.uk/154479/1/2016_05_05_MA_Modified_Manuscript_NotMarked.pdf </t>
  </si>
  <si>
    <t>Arup (2020) Five minute guide to Electricity Storage. https://www.arup.com/perspectives/publications/research/section/five-minute-guide-to-electricity-storage</t>
  </si>
  <si>
    <t>Projected Transmission &amp; Distribution losses for pre-operational facilities</t>
  </si>
  <si>
    <t>For pre-operational hydrogen production facilities, or pre-operational batteries, the table below provides the future T&amp;D losses that should be assumed when projecting the delivered GHG intensity of electricity from specific generation facilities or from/to specific batteries.</t>
  </si>
  <si>
    <t>The losses are an average of the five National Grid Energy Scenarios (https://www.nationalgrideso.com/future-energy/future-energy-scenarios/documents)</t>
  </si>
  <si>
    <t>The transmission loss % is the transmission loss in TWh divided by the total system demand in TWh</t>
  </si>
  <si>
    <t>Distribution loss % is the distribution loss in TWh divided by the (total system demand TWh - transmission loss TWh).</t>
  </si>
  <si>
    <t>Transmission Loss</t>
  </si>
  <si>
    <t>Distribution Loss</t>
  </si>
  <si>
    <t>Total T&amp;D Loss</t>
  </si>
  <si>
    <t>Fuel GHG intensity (production and supply, without combustion/conversion)</t>
  </si>
  <si>
    <t>The GHG emission intensity factors in the table below aleady consider the typical transport emissions associated with delivery to a hydrogen production facility site, and so do not need any adjustment for transport.</t>
  </si>
  <si>
    <t>If using a fuel that is not listed in the table below, the GHG calculation methodology used within the RTFO (excluding any soil carbon accumulation credit, manure credit, degraded land credit, excess electricity credit or carbon capture and replacment/utilisation credit) should be used for calculating the delivered GHG emission intensity factor of this fuel.</t>
  </si>
  <si>
    <t>Fuel</t>
  </si>
  <si>
    <t>Diesel</t>
  </si>
  <si>
    <t>Petrol</t>
  </si>
  <si>
    <t>Natural gas (transmission network)</t>
  </si>
  <si>
    <t>UK National Statistics (2023) Energy Trends: UK gas for the 2022 mix of natural gas sources consumed in the UK https://www.gov.uk/government/statistics/gas-section-4-energy-trends
North Sea Transition Authority (2020) Natural gas carbon footprint analysis for their GHG intensities https://www.nstauthority.co.uk/the-move-to-net-zero/net-zero-benchmarking-and-analysis/natural-gas-carbon-footprint-analysis/
~0.13% own use of gas from National Grid (2023) Own use of gas https://www.nationalgas.com/balancing/unaccounted-gas-uag
~0.1% NTS losses from Boothroyd et al. (2018) Assessing fugitive emissions of CH4 from high-pressure gas pipelines in the UK https://www.sciencedirect.com/science/article/pii/S0048969718306399
Natural gas average is 92% mol methane, or 86% by mass: https://assets.publishing.service.gov.uk/government/uploads/system/uploads/attachment_data/file/545567/Material_comparators_for_fuels_-_natural_gas.pdf
Natural gas combustion factor from https://www.gov.uk/government/publications/greenhouse-gas-reporting-conversion-factors-2023</t>
  </si>
  <si>
    <t>Natural gas (intermediate/medium pressure distribution network)</t>
  </si>
  <si>
    <t>UK National Statistics (2023) Energy Trends: UK gas for the 2022 mix of natural gas sources consumed in the UK https://www.gov.uk/government/statistics/gas-section-4-energy-trends
North Sea Transition Authority (2020) Natural gas carbon footprint analysis for their GHG intensities https://www.nstauthority.co.uk/the-move-to-net-zero/net-zero-benchmarking-and-analysis/natural-gas-carbon-footprint-analysis/
~0.13% own use of gas from National Grid (2023) Own use of gas https://www.nationalgas.com/balancing/unaccounted-gas-uag
~0.1% NTS losses from Boothroyd et al. (2018) Assessing fugitive emissions of CH4 from high-pressure gas pipelines in the UK https://www.sciencedirect.com/science/article/pii/S0048969718306399
~0.43% leakage, 0.0113% own use and 0.02% theft on DN. Data from Joint Office of Gas Transporters (2023) Shrinkage publications https://www.gasgovernance.co.uk/index.php/shrinkage/aa2023
78% of leakage from low pressure, 8% from medium pressure network. Assumed all above ground installation leakage attributed to medium pressure, and all interference damage attributed to low pressure. Data from Joint Office of Gas Transporters (2022) Shrinkage and Leakage model review https://www.gasgovernance.co.uk/sites/default/files/ggf/book/2022-03/2021-22%20Shrinkage%20and%20Leakage%20Model%20Review_FINAL%20REPORT.pdf
Natural gas average is 92% mol methane, or 86% by mass: https://assets.publishing.service.gov.uk/government/uploads/system/uploads/attachment_data/file/545567/Material_comparators_for_fuels_-_natural_gas.pdf
Natural gas combustion factor from https://www.gov.uk/government/publications/greenhouse-gas-reporting-conversion-factors-2023</t>
  </si>
  <si>
    <t>Natural gas (low pressure distribution network)</t>
  </si>
  <si>
    <t>Marine gas oil</t>
  </si>
  <si>
    <t>Fuel oil</t>
  </si>
  <si>
    <t>Fossil methanol</t>
  </si>
  <si>
    <t>JRC (2019) Definition of input data to assess GHG default emissions from biofuels in EU legislation https://publications.jrc.ec.europa.eu/repository/handle/JRC115952</t>
  </si>
  <si>
    <t>Biomethanol</t>
  </si>
  <si>
    <t>Bioethanol</t>
  </si>
  <si>
    <t>Biodiesel FAME</t>
  </si>
  <si>
    <t>Biodiesel HVO</t>
  </si>
  <si>
    <t>The following emissions intensities should be used with projected/actual material flow rates.</t>
  </si>
  <si>
    <t>These factors include manufacture of the material and implictly include transport to a typical project site, based on the references provided, although this may be made more explicit in future iterations.</t>
  </si>
  <si>
    <r>
      <t>These factors do not consider emissions resulting from the combustion or conversion of these input materials within the hydrogen production facility (these combustion/conversion emissions are to be covered within the Process CO</t>
    </r>
    <r>
      <rPr>
        <vertAlign val="subscript"/>
        <sz val="11"/>
        <color rgb="FF000000"/>
        <rFont val="Calibri"/>
        <family val="2"/>
      </rPr>
      <t>2</t>
    </r>
    <r>
      <rPr>
        <sz val="11"/>
        <color rgb="FF000000"/>
        <rFont val="Calibri"/>
        <family val="2"/>
      </rPr>
      <t xml:space="preserve"> emissions and Fugitive non-CO</t>
    </r>
    <r>
      <rPr>
        <vertAlign val="subscript"/>
        <sz val="11"/>
        <color rgb="FF000000"/>
        <rFont val="Calibri"/>
        <family val="2"/>
      </rPr>
      <t>2</t>
    </r>
    <r>
      <rPr>
        <sz val="11"/>
        <color rgb="FF000000"/>
        <rFont val="Calibri"/>
        <family val="2"/>
      </rPr>
      <t xml:space="preserve"> emissions categories).</t>
    </r>
  </si>
  <si>
    <t>If using a material that is not listed in the table below, the references given in the Non Typical data tab should be consulted to source and evidence a suitable GHG emission intensity factor input.</t>
  </si>
  <si>
    <t>Material</t>
  </si>
  <si>
    <r>
      <t>gCO</t>
    </r>
    <r>
      <rPr>
        <b/>
        <vertAlign val="subscript"/>
        <sz val="11"/>
        <color theme="1"/>
        <rFont val="Calibri"/>
        <family val="2"/>
        <scheme val="minor"/>
      </rPr>
      <t>2</t>
    </r>
    <r>
      <rPr>
        <b/>
        <sz val="11"/>
        <color theme="1"/>
        <rFont val="Calibri"/>
        <family val="2"/>
        <scheme val="minor"/>
      </rPr>
      <t>e/kg</t>
    </r>
  </si>
  <si>
    <t>Mains water</t>
  </si>
  <si>
    <t>Desalinated water onsite from grid power</t>
  </si>
  <si>
    <t>IRENA (2021) mid-point efficiency (3.5-5 kWhe/m3) for large-scale Reverse Osmosis of sea water with UK grid electricity factor https://www.irena.org/-/media/Files/IRENA/Agency/Publication/2012/IRENA-ETSAP-Tech-Brief-I12-Water-Desalination.pdf
Shahabi et al (2014) Environmental life cycle assessment of seawater reverse osmosis desalination plant powered by renewable energy for emissions associated with chemicals https://www.sciencedirect.com/science/article/abs/pii/S0960148113006289</t>
  </si>
  <si>
    <t>Oxygen (liquid) onsite from grid power</t>
  </si>
  <si>
    <t>Linde (2009) assumes 245 kWhe/tonne power usage in cryogenic separation, and UK grid electricity factor https://ieaghg.org/docs/oxyfuel/OCC1/Plenary%201/Beysel_ASU_1stOxyfuel%20Cottbus.pdf</t>
  </si>
  <si>
    <t>Oxygen onsite from wind/solar</t>
  </si>
  <si>
    <t>Nil intensity, due to nil intensity of input power</t>
  </si>
  <si>
    <t>Nitrogen (gaseous) onsite from grid power</t>
  </si>
  <si>
    <t>JRC (2019) Definition of input data to assess GHG default emisisons from biofuels in EU legislation used for unputs of assuming 0.4 MJe/kg and UK grid electricity factor https://publications.jrc.ec.europa.eu/repository/handle/JRC115952</t>
  </si>
  <si>
    <t>Nitrogen (liquid) onsite from grid power</t>
  </si>
  <si>
    <t>Wu et al. (2020) for 0.258 kWhe/kg power usage in cryogenic separation, and UK grid electricity factor</t>
  </si>
  <si>
    <t>Nitrogen onsite from wind/solar</t>
  </si>
  <si>
    <t>Sodium hydroxide (NaOH) solution</t>
  </si>
  <si>
    <t>JRC (2019) Definition of input data to assess GHG default emisisons from biofuels in EU legislation https://publications.jrc.ec.europa.eu/repository/handle/JRC115952</t>
  </si>
  <si>
    <t>Potassium hydroxide (KOH) solution</t>
  </si>
  <si>
    <t>Calcium hydroxide (CaO, pure)</t>
  </si>
  <si>
    <r>
      <t>Calcium carbonate (CaCO</t>
    </r>
    <r>
      <rPr>
        <vertAlign val="subscript"/>
        <sz val="11"/>
        <color rgb="FF000000"/>
        <rFont val="Calibri"/>
        <family val="2"/>
      </rPr>
      <t>3</t>
    </r>
    <r>
      <rPr>
        <sz val="11"/>
        <color rgb="FF000000"/>
        <rFont val="Calibri"/>
        <family val="2"/>
      </rPr>
      <t>, pure)</t>
    </r>
  </si>
  <si>
    <t>GHG Protocol (2005) Calculation Tools for Estimating GHG emissions from pulp and paper mills https://ghgprotocol.org/sites/default/files/2023-03/Pulp_and_Paper_Guidance.pdf</t>
  </si>
  <si>
    <r>
      <t>Sodium carbonate (Na</t>
    </r>
    <r>
      <rPr>
        <vertAlign val="subscript"/>
        <sz val="11"/>
        <color rgb="FF000000"/>
        <rFont val="Calibri"/>
        <family val="2"/>
      </rPr>
      <t>2</t>
    </r>
    <r>
      <rPr>
        <sz val="11"/>
        <color rgb="FF000000"/>
        <rFont val="Calibri"/>
        <family val="2"/>
      </rPr>
      <t>CO</t>
    </r>
    <r>
      <rPr>
        <vertAlign val="subscript"/>
        <sz val="11"/>
        <color rgb="FF000000"/>
        <rFont val="Calibri"/>
        <family val="2"/>
      </rPr>
      <t>3</t>
    </r>
    <r>
      <rPr>
        <sz val="11"/>
        <color rgb="FF000000"/>
        <rFont val="Calibri"/>
        <family val="2"/>
      </rPr>
      <t>, pure)</t>
    </r>
  </si>
  <si>
    <t>Sodium hypochlorite (NaClO)</t>
  </si>
  <si>
    <t>Winnipeg (2012) Emission factors in kg CO2-equivalent per unit https://legacy.winnipeg.ca/finance/findata/matmgt/documents/2012/682-2012/682-2012_Appendix_H-WSTP_South_End_Plant_Process_Selection_Report/Appendix%207.pdf</t>
  </si>
  <si>
    <r>
      <t>Sodium methoxide (NaCH</t>
    </r>
    <r>
      <rPr>
        <vertAlign val="subscript"/>
        <sz val="11"/>
        <color rgb="FF000000"/>
        <rFont val="Calibri"/>
        <family val="2"/>
      </rPr>
      <t>3</t>
    </r>
    <r>
      <rPr>
        <sz val="11"/>
        <color rgb="FF000000"/>
        <rFont val="Calibri"/>
        <family val="2"/>
      </rPr>
      <t>O)</t>
    </r>
  </si>
  <si>
    <r>
      <t>Sodium bisulphite (NaHSO</t>
    </r>
    <r>
      <rPr>
        <vertAlign val="subscript"/>
        <sz val="11"/>
        <color rgb="FF000000"/>
        <rFont val="Calibri"/>
        <family val="2"/>
      </rPr>
      <t>3</t>
    </r>
    <r>
      <rPr>
        <sz val="11"/>
        <color rgb="FF000000"/>
        <rFont val="Calibri"/>
        <family val="2"/>
      </rPr>
      <t>)</t>
    </r>
  </si>
  <si>
    <t>Salt (NaCl)</t>
  </si>
  <si>
    <t>JRC (2019) Definition of input data to assess GHG default emisisons from biofuels in EU legislation used for inputs of power, diesel, natural gas heating and explosives. https://publications.jrc.ec.europa.eu/repository/handle/JRC115952
Stantec (2015) Appendix 6.1-B Greenhouse Gas Emission Inventory Summary for KGHM Ajaz Mine. Input intensities for UK grid electricity, UK diesel, UK natural gas heating using 90% efficiency boiler, ANFO emissions factor. https://iaac-aeic.gc.ca/050/documents/p62225/104540E.pdf</t>
  </si>
  <si>
    <t>Hydrochloric acid (HCl) solution</t>
  </si>
  <si>
    <r>
      <t>Sulphuric acid (H</t>
    </r>
    <r>
      <rPr>
        <vertAlign val="subscript"/>
        <sz val="11"/>
        <color rgb="FF000000"/>
        <rFont val="Calibri"/>
        <family val="2"/>
      </rPr>
      <t>2</t>
    </r>
    <r>
      <rPr>
        <sz val="11"/>
        <color rgb="FF000000"/>
        <rFont val="Calibri"/>
        <family val="2"/>
      </rPr>
      <t>SO</t>
    </r>
    <r>
      <rPr>
        <vertAlign val="subscript"/>
        <sz val="11"/>
        <color rgb="FF000000"/>
        <rFont val="Calibri"/>
        <family val="2"/>
      </rPr>
      <t>4</t>
    </r>
    <r>
      <rPr>
        <sz val="11"/>
        <color rgb="FF000000"/>
        <rFont val="Calibri"/>
        <family val="2"/>
      </rPr>
      <t>)</t>
    </r>
  </si>
  <si>
    <r>
      <t>Phosphoric acid (H</t>
    </r>
    <r>
      <rPr>
        <vertAlign val="subscript"/>
        <sz val="11"/>
        <color rgb="FF000000"/>
        <rFont val="Calibri"/>
        <family val="2"/>
      </rPr>
      <t>3</t>
    </r>
    <r>
      <rPr>
        <sz val="11"/>
        <color rgb="FF000000"/>
        <rFont val="Calibri"/>
        <family val="2"/>
      </rPr>
      <t>PO</t>
    </r>
    <r>
      <rPr>
        <vertAlign val="subscript"/>
        <sz val="11"/>
        <color rgb="FF000000"/>
        <rFont val="Calibri"/>
        <family val="2"/>
      </rPr>
      <t>4</t>
    </r>
    <r>
      <rPr>
        <sz val="11"/>
        <color rgb="FF000000"/>
        <rFont val="Calibri"/>
        <family val="2"/>
      </rPr>
      <t>)</t>
    </r>
  </si>
  <si>
    <r>
      <t>Boric acid (H</t>
    </r>
    <r>
      <rPr>
        <vertAlign val="subscript"/>
        <sz val="11"/>
        <color rgb="FF000000"/>
        <rFont val="Calibri"/>
        <family val="2"/>
      </rPr>
      <t>3</t>
    </r>
    <r>
      <rPr>
        <sz val="11"/>
        <color rgb="FF000000"/>
        <rFont val="Calibri"/>
        <family val="2"/>
      </rPr>
      <t>BO</t>
    </r>
    <r>
      <rPr>
        <vertAlign val="subscript"/>
        <sz val="11"/>
        <color rgb="FF000000"/>
        <rFont val="Calibri"/>
        <family val="2"/>
      </rPr>
      <t>3</t>
    </r>
    <r>
      <rPr>
        <sz val="11"/>
        <color rgb="FF000000"/>
        <rFont val="Calibri"/>
        <family val="2"/>
      </rPr>
      <t>)</t>
    </r>
  </si>
  <si>
    <t>Lubrication oils</t>
  </si>
  <si>
    <t>Cyclohexane</t>
  </si>
  <si>
    <t>Monoethanolamine (MEA)</t>
  </si>
  <si>
    <t>Cuellar-Franca et al. (2016) A novel methodology for assessing the environmental sustainability of ionic liquids used for CO2 capture https://pubs.rsc.org/en/content/articlepdf/2016/fd/c6fd00054a</t>
  </si>
  <si>
    <r>
      <t>Ammonia (NH</t>
    </r>
    <r>
      <rPr>
        <vertAlign val="subscript"/>
        <sz val="11"/>
        <color rgb="FF000000"/>
        <rFont val="Calibri"/>
        <family val="2"/>
      </rPr>
      <t>3</t>
    </r>
    <r>
      <rPr>
        <sz val="11"/>
        <color rgb="FF000000"/>
        <rFont val="Calibri"/>
        <family val="2"/>
      </rPr>
      <t>) from unabated natural gas</t>
    </r>
  </si>
  <si>
    <t>JRC (2019) Definition of input data to assess GHG default emisisons from biofuels in EU legislation used for inputs of power and natural gas. Input intensities for UK grid electricity factor, UK natural gas. https://publications.jrc.ec.europa.eu/repository/handle/JRC115952</t>
  </si>
  <si>
    <r>
      <t>Urea (CH</t>
    </r>
    <r>
      <rPr>
        <vertAlign val="subscript"/>
        <sz val="11"/>
        <color rgb="FF000000"/>
        <rFont val="Calibri"/>
        <family val="2"/>
      </rPr>
      <t>4</t>
    </r>
    <r>
      <rPr>
        <sz val="11"/>
        <color rgb="FF000000"/>
        <rFont val="Calibri"/>
        <family val="2"/>
      </rPr>
      <t>N</t>
    </r>
    <r>
      <rPr>
        <vertAlign val="subscript"/>
        <sz val="11"/>
        <color rgb="FF000000"/>
        <rFont val="Calibri"/>
        <family val="2"/>
      </rPr>
      <t>2</t>
    </r>
    <r>
      <rPr>
        <sz val="11"/>
        <color rgb="FF000000"/>
        <rFont val="Calibri"/>
        <family val="2"/>
      </rPr>
      <t>O) from unabated natural gas</t>
    </r>
  </si>
  <si>
    <t>Activated carbon</t>
  </si>
  <si>
    <t>Winnipeg (2012) Emission factors in kg CO2-equivalent per unit, using Mineral sources https://legacy.winnipeg.ca/finance/findata/matmgt/documents/2012/682-2012/682-2012_Appendix_H-WSTP_South_End_Plant_Process_Selection_Report/Appendix%207.pdf</t>
  </si>
  <si>
    <r>
      <t>Process CO</t>
    </r>
    <r>
      <rPr>
        <b/>
        <vertAlign val="subscript"/>
        <sz val="11"/>
        <color rgb="FF000000"/>
        <rFont val="Calibri"/>
        <family val="2"/>
      </rPr>
      <t>2</t>
    </r>
    <r>
      <rPr>
        <b/>
        <sz val="11"/>
        <color rgb="FF000000"/>
        <rFont val="Calibri"/>
        <family val="2"/>
      </rPr>
      <t xml:space="preserve"> emissions</t>
    </r>
  </si>
  <si>
    <t>The following emissions intensities should be used with projected/actual flow rates.</t>
  </si>
  <si>
    <t>Note that these factors do not include the input production and supply of these feedstock/fuels to the hydrogen production site, which are considered in earlier emissions categories.</t>
  </si>
  <si>
    <r>
      <t>If using a feedstock, fuel or material that is not listed in the table below, the various references given in the Assumption tab should be consulted to source and evidence a suitable CO</t>
    </r>
    <r>
      <rPr>
        <vertAlign val="subscript"/>
        <sz val="11"/>
        <color rgb="FF000000"/>
        <rFont val="Calibri"/>
        <family val="2"/>
      </rPr>
      <t>2</t>
    </r>
    <r>
      <rPr>
        <sz val="11"/>
        <color rgb="FF000000"/>
        <rFont val="Calibri"/>
        <family val="2"/>
      </rPr>
      <t xml:space="preserve"> emission intensity.</t>
    </r>
  </si>
  <si>
    <r>
      <t>gCO</t>
    </r>
    <r>
      <rPr>
        <b/>
        <vertAlign val="subscript"/>
        <sz val="11"/>
        <color theme="1"/>
        <rFont val="Calibri"/>
        <family val="2"/>
        <scheme val="minor"/>
      </rPr>
      <t>2</t>
    </r>
    <r>
      <rPr>
        <b/>
        <sz val="11"/>
        <color theme="1"/>
        <rFont val="Calibri"/>
        <family val="2"/>
        <scheme val="minor"/>
      </rPr>
      <t>/MJ</t>
    </r>
    <r>
      <rPr>
        <b/>
        <vertAlign val="subscript"/>
        <sz val="11"/>
        <color theme="1"/>
        <rFont val="Calibri"/>
        <family val="2"/>
        <scheme val="minor"/>
      </rPr>
      <t>LHV</t>
    </r>
  </si>
  <si>
    <t>gC/kg</t>
  </si>
  <si>
    <t>Natural gas</t>
  </si>
  <si>
    <t>Hydrogen theoretical compression</t>
  </si>
  <si>
    <t>Parameters</t>
  </si>
  <si>
    <t>Unit</t>
  </si>
  <si>
    <t>Value</t>
  </si>
  <si>
    <t>Inlet pressure to compressor</t>
  </si>
  <si>
    <t>Hydrogen pressure chosen, unless Default data is selected for Energy Supply emissions category in which case 3MPa chosen</t>
  </si>
  <si>
    <t>Inlet temperature (To) to compressor</t>
  </si>
  <si>
    <t>⁰C</t>
  </si>
  <si>
    <t>Outlet pressure of compressor</t>
  </si>
  <si>
    <t>3MPa theoretical set point of the Low Carbon Hydrogen Standard is specified, unless Default data is selected for Energy Supply emissions category and desired hydrogen pressure is higher than 3MPa</t>
  </si>
  <si>
    <t>Initial specific volume (Vo)</t>
  </si>
  <si>
    <r>
      <t>m</t>
    </r>
    <r>
      <rPr>
        <vertAlign val="superscript"/>
        <sz val="11"/>
        <color rgb="FF000000"/>
        <rFont val="Calibri"/>
        <family val="2"/>
      </rPr>
      <t>3</t>
    </r>
    <r>
      <rPr>
        <sz val="11"/>
        <color rgb="FF000000"/>
        <rFont val="Calibri"/>
        <family val="2"/>
      </rPr>
      <t>/kg</t>
    </r>
  </si>
  <si>
    <t>Rounds temperature to the nearest 25 degrees, to match the specific volume formula</t>
  </si>
  <si>
    <t>Adiabatic coefficient (n)</t>
  </si>
  <si>
    <t>Specific compression work required, no losses</t>
  </si>
  <si>
    <t>MJ/kg</t>
  </si>
  <si>
    <t>Adiabatic efficiency (η)</t>
  </si>
  <si>
    <t>%</t>
  </si>
  <si>
    <t>Specific compression power with losses</t>
  </si>
  <si>
    <t>kWhe/kg</t>
  </si>
  <si>
    <t>GHG intensity of electricity used</t>
  </si>
  <si>
    <r>
      <t>gCO</t>
    </r>
    <r>
      <rPr>
        <vertAlign val="subscript"/>
        <sz val="11"/>
        <color rgb="FF000000"/>
        <rFont val="Calibri"/>
        <family val="2"/>
      </rPr>
      <t>2</t>
    </r>
    <r>
      <rPr>
        <sz val="11"/>
        <color rgb="FF000000"/>
        <rFont val="Calibri"/>
        <family val="2"/>
      </rPr>
      <t>e/kWhe</t>
    </r>
  </si>
  <si>
    <t>GHG emissions due to compression</t>
  </si>
  <si>
    <r>
      <t>gCO</t>
    </r>
    <r>
      <rPr>
        <b/>
        <vertAlign val="subscript"/>
        <sz val="11"/>
        <color rgb="FF000000"/>
        <rFont val="Calibri"/>
        <family val="2"/>
      </rPr>
      <t>2</t>
    </r>
    <r>
      <rPr>
        <b/>
        <sz val="11"/>
        <color rgb="FF000000"/>
        <rFont val="Calibri"/>
        <family val="2"/>
      </rPr>
      <t>e/MJ H</t>
    </r>
    <r>
      <rPr>
        <b/>
        <vertAlign val="subscript"/>
        <sz val="11"/>
        <color rgb="FF000000"/>
        <rFont val="Calibri"/>
        <family val="2"/>
      </rPr>
      <t>2</t>
    </r>
    <r>
      <rPr>
        <b/>
        <sz val="11"/>
        <color rgb="FF000000"/>
        <rFont val="Calibri"/>
        <family val="2"/>
      </rPr>
      <t xml:space="preserve"> (LHV)</t>
    </r>
  </si>
  <si>
    <t>Specific volume values</t>
  </si>
  <si>
    <r>
      <t>Temperature (</t>
    </r>
    <r>
      <rPr>
        <b/>
        <vertAlign val="superscript"/>
        <sz val="10"/>
        <rFont val="Calibri"/>
        <family val="2"/>
        <scheme val="minor"/>
      </rPr>
      <t>o</t>
    </r>
    <r>
      <rPr>
        <b/>
        <sz val="10"/>
        <rFont val="Calibri"/>
        <family val="2"/>
        <scheme val="minor"/>
      </rPr>
      <t>C)</t>
    </r>
  </si>
  <si>
    <t>α</t>
  </si>
  <si>
    <t>β</t>
  </si>
  <si>
    <r>
      <t>R</t>
    </r>
    <r>
      <rPr>
        <b/>
        <vertAlign val="superscript"/>
        <sz val="11"/>
        <color theme="1"/>
        <rFont val="Calibri"/>
        <family val="2"/>
        <scheme val="minor"/>
      </rPr>
      <t>2</t>
    </r>
  </si>
  <si>
    <t>Hydrogen theoretical purification</t>
  </si>
  <si>
    <t>Purification energy with losses</t>
  </si>
  <si>
    <r>
      <t>kWhe/kgH</t>
    </r>
    <r>
      <rPr>
        <vertAlign val="subscript"/>
        <sz val="11"/>
        <rFont val="Calibri"/>
        <family val="2"/>
      </rPr>
      <t>2</t>
    </r>
  </si>
  <si>
    <t>Purification energy is required if purity &lt;99.9% by vol, or if purity is &gt;99.9% by vol but Default data is selected for Energy Supply emissions category</t>
  </si>
  <si>
    <t>GHG emissions due to purification</t>
  </si>
  <si>
    <t>Default data for pre-operational Hydrogen Production Facilities</t>
  </si>
  <si>
    <t>All GHG emissions values use 100year GWPs from IPCC AR5 without carbon feedbacks</t>
  </si>
  <si>
    <r>
      <t>2025 estimated UK grid electricity GHG emissions intensity of 35.18 gCO</t>
    </r>
    <r>
      <rPr>
        <vertAlign val="subscript"/>
        <sz val="11"/>
        <color theme="1"/>
        <rFont val="Calibri"/>
        <family val="2"/>
        <scheme val="minor"/>
      </rPr>
      <t>2</t>
    </r>
    <r>
      <rPr>
        <sz val="11"/>
        <color theme="1"/>
        <rFont val="Calibri"/>
        <family val="2"/>
        <scheme val="minor"/>
      </rPr>
      <t>e/MJe (generation with T&amp;D losses to reach an industrial consumer) has been used for calculation of all the default values, except grid electrolysis, where the UK grid electricity intensity in the relevant calendar year of operations is used instead (with a default electrolysis efficiency)</t>
    </r>
  </si>
  <si>
    <t>Feedstock Supply for fossil natural gas - the weighted average GHG emissions intensity of gas consumed from the UK NTS have been updated with latest UK net supply, piped import and LNG imports data (DESNZ Energy Trends 2023), combined with emissions factors from NSTA (2020)</t>
  </si>
  <si>
    <r>
      <t>Processing plant CO</t>
    </r>
    <r>
      <rPr>
        <vertAlign val="subscript"/>
        <sz val="11"/>
        <color theme="1"/>
        <rFont val="Calibri"/>
        <family val="2"/>
        <scheme val="minor"/>
      </rPr>
      <t>2</t>
    </r>
    <r>
      <rPr>
        <sz val="11"/>
        <color theme="1"/>
        <rFont val="Calibri"/>
        <family val="2"/>
        <scheme val="minor"/>
      </rPr>
      <t xml:space="preserve"> generated, CO</t>
    </r>
    <r>
      <rPr>
        <vertAlign val="subscript"/>
        <sz val="11"/>
        <color theme="1"/>
        <rFont val="Calibri"/>
        <family val="2"/>
        <scheme val="minor"/>
      </rPr>
      <t>2</t>
    </r>
    <r>
      <rPr>
        <sz val="11"/>
        <color theme="1"/>
        <rFont val="Calibri"/>
        <family val="2"/>
        <scheme val="minor"/>
      </rPr>
      <t xml:space="preserve"> capture and network entry, and CO</t>
    </r>
    <r>
      <rPr>
        <vertAlign val="subscript"/>
        <sz val="11"/>
        <color theme="1"/>
        <rFont val="Calibri"/>
        <family val="2"/>
        <scheme val="minor"/>
      </rPr>
      <t>2</t>
    </r>
    <r>
      <rPr>
        <sz val="11"/>
        <color theme="1"/>
        <rFont val="Calibri"/>
        <family val="2"/>
        <scheme val="minor"/>
      </rPr>
      <t xml:space="preserve"> sequestered values are not accounted for within defaults, projected data has to be used</t>
    </r>
    <r>
      <rPr>
        <sz val="11"/>
        <color theme="1"/>
        <rFont val="Calibri"/>
        <family val="2"/>
        <scheme val="minor"/>
      </rPr>
      <t xml:space="preserve"> instead</t>
    </r>
  </si>
  <si>
    <r>
      <t>Fugitive emissions of CH</t>
    </r>
    <r>
      <rPr>
        <vertAlign val="subscript"/>
        <sz val="11"/>
        <color theme="1"/>
        <rFont val="Calibri"/>
        <family val="2"/>
        <scheme val="minor"/>
      </rPr>
      <t>4</t>
    </r>
    <r>
      <rPr>
        <sz val="11"/>
        <color theme="1"/>
        <rFont val="Calibri"/>
        <family val="2"/>
        <scheme val="minor"/>
      </rPr>
      <t>, N</t>
    </r>
    <r>
      <rPr>
        <vertAlign val="subscript"/>
        <sz val="11"/>
        <color theme="1"/>
        <rFont val="Calibri"/>
        <family val="2"/>
        <scheme val="minor"/>
      </rPr>
      <t>2</t>
    </r>
    <r>
      <rPr>
        <sz val="11"/>
        <color theme="1"/>
        <rFont val="Calibri"/>
        <family val="2"/>
        <scheme val="minor"/>
      </rPr>
      <t>O not accounted for within defaults, projected data has to be used instead</t>
    </r>
  </si>
  <si>
    <r>
      <t>Fugitive H</t>
    </r>
    <r>
      <rPr>
        <vertAlign val="subscript"/>
        <sz val="11"/>
        <color theme="1"/>
        <rFont val="Calibri"/>
        <family val="2"/>
        <scheme val="minor"/>
      </rPr>
      <t>2</t>
    </r>
    <r>
      <rPr>
        <sz val="11"/>
        <color theme="1"/>
        <rFont val="Calibri"/>
        <family val="2"/>
        <scheme val="minor"/>
      </rPr>
      <t xml:space="preserve"> emissions and Indirect Land Use Change (ILUC) are to be reported separately, but not included in GHG calculations</t>
    </r>
  </si>
  <si>
    <r>
      <t>Energy supply defaults includes electricity use for H</t>
    </r>
    <r>
      <rPr>
        <vertAlign val="subscript"/>
        <sz val="11"/>
        <color theme="1"/>
        <rFont val="Calibri"/>
        <family val="2"/>
        <scheme val="minor"/>
      </rPr>
      <t>2</t>
    </r>
    <r>
      <rPr>
        <sz val="11"/>
        <color theme="1"/>
        <rFont val="Calibri"/>
        <family val="2"/>
        <scheme val="minor"/>
      </rPr>
      <t xml:space="preserve"> compression and purification up to the minimum theoretical standard (3 MPa, 99.9 vol% purity), as well as the energy required for CO</t>
    </r>
    <r>
      <rPr>
        <vertAlign val="subscript"/>
        <sz val="11"/>
        <color theme="1"/>
        <rFont val="Calibri"/>
        <family val="2"/>
        <scheme val="minor"/>
      </rPr>
      <t>2</t>
    </r>
    <r>
      <rPr>
        <sz val="11"/>
        <color theme="1"/>
        <rFont val="Calibri"/>
        <family val="2"/>
        <scheme val="minor"/>
      </rPr>
      <t xml:space="preserve"> capture for all CCS pathways - but excludes CO</t>
    </r>
    <r>
      <rPr>
        <vertAlign val="subscript"/>
        <sz val="11"/>
        <color theme="1"/>
        <rFont val="Calibri"/>
        <family val="2"/>
        <scheme val="minor"/>
      </rPr>
      <t>2</t>
    </r>
    <r>
      <rPr>
        <sz val="11"/>
        <color theme="1"/>
        <rFont val="Calibri"/>
        <family val="2"/>
        <scheme val="minor"/>
      </rPr>
      <t xml:space="preserve"> network operations. These electricity consumption default values are already aligned to a certain typical CO</t>
    </r>
    <r>
      <rPr>
        <vertAlign val="subscript"/>
        <sz val="11"/>
        <color theme="1"/>
        <rFont val="Calibri"/>
        <family val="2"/>
        <scheme val="minor"/>
      </rPr>
      <t>2</t>
    </r>
    <r>
      <rPr>
        <sz val="11"/>
        <color theme="1"/>
        <rFont val="Calibri"/>
        <family val="2"/>
        <scheme val="minor"/>
      </rPr>
      <t xml:space="preserve"> capture rate which may differ to the actual capture rate of the system, and a certain typical H</t>
    </r>
    <r>
      <rPr>
        <vertAlign val="subscript"/>
        <sz val="11"/>
        <color theme="1"/>
        <rFont val="Calibri"/>
        <family val="2"/>
        <scheme val="minor"/>
      </rPr>
      <t>2</t>
    </r>
    <r>
      <rPr>
        <sz val="11"/>
        <color theme="1"/>
        <rFont val="Calibri"/>
        <family val="2"/>
        <scheme val="minor"/>
      </rPr>
      <t xml:space="preserve"> pressure/purity which may differ to the actual output of the system.</t>
    </r>
  </si>
  <si>
    <t>All default values apply a 1.4x multiplier from the LCA tool central case, unless otherwise stated</t>
  </si>
  <si>
    <t>Feedstock supply (for Feedstock extraction/cultivation/collection, storage, transport, pre-processing)</t>
  </si>
  <si>
    <t>Production Pathway</t>
  </si>
  <si>
    <t>Default value</t>
  </si>
  <si>
    <t>LCA tool (central case)</t>
  </si>
  <si>
    <t>LCA tool (best case)</t>
  </si>
  <si>
    <t>LCA tool (worst case)</t>
  </si>
  <si>
    <t>Comments</t>
  </si>
  <si>
    <t xml:space="preserve"> </t>
  </si>
  <si>
    <t>Fossil natural gas SMR+CCS</t>
  </si>
  <si>
    <r>
      <t>gCO</t>
    </r>
    <r>
      <rPr>
        <vertAlign val="subscript"/>
        <sz val="11"/>
        <color rgb="FF000000"/>
        <rFont val="Calibri"/>
        <family val="2"/>
      </rPr>
      <t>2</t>
    </r>
    <r>
      <rPr>
        <sz val="11"/>
        <color rgb="FF000000"/>
        <rFont val="Calibri"/>
        <family val="2"/>
      </rPr>
      <t>e/MJ H</t>
    </r>
    <r>
      <rPr>
        <vertAlign val="subscript"/>
        <sz val="11"/>
        <color rgb="FF000000"/>
        <rFont val="Calibri"/>
        <family val="2"/>
      </rPr>
      <t>2</t>
    </r>
    <r>
      <rPr>
        <sz val="11"/>
        <color rgb="FF000000"/>
        <rFont val="Calibri"/>
        <family val="2"/>
      </rPr>
      <t xml:space="preserve"> (LHV)</t>
    </r>
  </si>
  <si>
    <t>No 1.4x multiplier applied. The weighted average GHG emissions intensity of gas consumed from the UK NTS have been updated with latest UK net supply, piped import and LNG imports data (DESNZ Energy Trends 2023), combined with emissions factors from NSTA (2023)</t>
  </si>
  <si>
    <t>Fossil natural gas ATR+CCS</t>
  </si>
  <si>
    <t>Fossil natural gas POX+CCS</t>
  </si>
  <si>
    <t>Use projected</t>
  </si>
  <si>
    <t>Pathway not analysed</t>
  </si>
  <si>
    <t>POX+CCS not analysed in 2021 study / LCA tool. Projected data must be used</t>
  </si>
  <si>
    <t xml:space="preserve">Refinery Off Gas ATR+CCS </t>
  </si>
  <si>
    <t>ROG ATR+CCS not analysed in 2021 study / LCA tool. Projected data must be used for the Feedstock Supply category</t>
  </si>
  <si>
    <t>Food waste biomethane SMR+CCS</t>
  </si>
  <si>
    <t>Biogas and biomethane production are included in the Feedstock supply category emissions, not in processing</t>
  </si>
  <si>
    <t>Food waste biomethane ATR+CCS</t>
  </si>
  <si>
    <t>Forestry residue gasification+CCS</t>
  </si>
  <si>
    <t>Collection and transportation</t>
  </si>
  <si>
    <t>Biogenic fraction of RDF gasification+CCS</t>
  </si>
  <si>
    <t>Collection, RDF pre-processing and transportation</t>
  </si>
  <si>
    <t>Fossil fraction of RDF gasification+CCS</t>
  </si>
  <si>
    <t>Grid average electrolysis</t>
  </si>
  <si>
    <t>It is assumed grid electricity emissions are included in Energy supply, not in Feedstock supply</t>
  </si>
  <si>
    <t>Wind/solar electrolysis</t>
  </si>
  <si>
    <t>It is assumed wind/solar electricity emissions (nil) are included in Energy supply, not in Feedstock supply</t>
  </si>
  <si>
    <t>Nuclear electrolysis</t>
  </si>
  <si>
    <t>It is assumed nuclear energy emissions are included in Energy supply, not in Feedstock supply</t>
  </si>
  <si>
    <t>Energy supply (electricity, steam, heat, upstream fuel supply emissions)</t>
  </si>
  <si>
    <t>These do not include natural gas used for furnace heating - all natural gas combustion emissions (from reformer and furnace), have to be included in the Process CO2 emissions category, and then CO2 capture reduces these emissions to atmosphere. Upstream emissions for supply natural gas used for furance heating are considered within the Feedstock Supply category, and not in this category</t>
  </si>
  <si>
    <t>Includes power input to ATR+CCS. These emissions do not include natural gas used for furnace heating - all natural gas combustion emissions (from reformer and furnace), have to be included in the Process CO2 emissions, and then CO2 capture reduces these emissions to atmosphere. Upstream emissions for supply natural gas used for furance heating are considered within the Feedstock Supply category, and not in this category. Best/Central/Worst cases are ordered by their overall pathway emissions, due to the ATR efficiency ranges, and not ordered by their power input assumptions</t>
  </si>
  <si>
    <t>Assumed same Energy Supply category default value as for Fossil natural gas ATR+CCS. This does not include gas used for furnace heating - all natural gas emissions (from reformer and furnace), have to be included in the process emissions, and then CO2 capture reduces these emissions to atmosphere</t>
  </si>
  <si>
    <t>Includes power input to SMR+CCS only - i.e. electricity used in biogas/biomethane production is included within feedstock emissions</t>
  </si>
  <si>
    <t>Includes power input to ATR+CCS - i.e. biogas/biomethane production is included within feedstock emissions</t>
  </si>
  <si>
    <t>No 1.4x multiplier applied. 58.6% LHV efficiency (from DESNZ internal datasets) applied to grid electricity factor for relevant calendar year of operations. LCA tool comparator data only taken from 2025 grid intensity</t>
  </si>
  <si>
    <t>Input materials (upstream material emissions, but not emissions from their use in the process)</t>
  </si>
  <si>
    <t>Water and MEA</t>
  </si>
  <si>
    <t>Assumed same input materials default value as Fossil natural gas ATR+CCS. Water and MEA</t>
  </si>
  <si>
    <t>Chemicals for gasification</t>
  </si>
  <si>
    <t>Chemicals and oxygen</t>
  </si>
  <si>
    <t>From water, HCl and NaOH</t>
  </si>
  <si>
    <t>Process CO2 generated (for comparison purposes only)</t>
  </si>
  <si>
    <t>This value is per MJ of biogenic H2 produced</t>
  </si>
  <si>
    <t>This value is per MJ of fossil H2 produced</t>
  </si>
  <si>
    <r>
      <t>CO</t>
    </r>
    <r>
      <rPr>
        <b/>
        <vertAlign val="subscript"/>
        <sz val="11"/>
        <color rgb="FF000000"/>
        <rFont val="Calibri"/>
        <family val="2"/>
      </rPr>
      <t>2</t>
    </r>
    <r>
      <rPr>
        <b/>
        <sz val="11"/>
        <color rgb="FF000000"/>
        <rFont val="Calibri"/>
        <family val="2"/>
      </rPr>
      <t xml:space="preserve"> capture and network entry (for comparison purposes only)</t>
    </r>
  </si>
  <si>
    <t>Already within Energy supply</t>
  </si>
  <si>
    <t>Grid electricity for CO2 compression, pipeline transport and injection already included within LCA tool Energy Supply emissions above</t>
  </si>
  <si>
    <t>CO2 sequestration (for comparison purposes only)</t>
  </si>
  <si>
    <t>Fugitive non-CO2 emissions (for comparison purposes only)</t>
  </si>
  <si>
    <t>Fossil Waste/Residue feedstock counterfactual emissions (for comparison purposes only)</t>
  </si>
  <si>
    <t>Foresty residue gasification+CCS</t>
  </si>
  <si>
    <t>Grid electricity assumed to be displaced</t>
  </si>
  <si>
    <t>Total chain GHG emissions (for comparison purposes only, noting feedstock may differ/data may not be applicable to your pathway)</t>
  </si>
  <si>
    <t>NA</t>
  </si>
  <si>
    <t>Useful links and references to explore for Non Typical data values</t>
  </si>
  <si>
    <t>UK Low Carbon Hydrogen Standard - GHG and sustainability guidance</t>
  </si>
  <si>
    <t>https://www.gov.uk/government/publications/uk-low-carbon-hydrogen-standard-emissions-reporting-and-sustainability-criteria</t>
  </si>
  <si>
    <t>UK Low Carbon Hydrogen Standard - annexes to guidance</t>
  </si>
  <si>
    <t>UK Low Carbon Hydrogen Standard - data table annex</t>
  </si>
  <si>
    <t>UK Government conversion factors for Company Reporting. Year 2023</t>
  </si>
  <si>
    <t>https://www.gov.uk/government/publications/greenhouse-gas-reporting-conversion-factors-2023</t>
  </si>
  <si>
    <t>RTFO guidance</t>
  </si>
  <si>
    <t>https://www.gov.uk/government/publications/renewable-transport-fuel-obligation-rtfo-compliance-reporting-and-verification</t>
  </si>
  <si>
    <t>RTFO Carbon Calculator</t>
  </si>
  <si>
    <t>https://www.gov.uk/government/publications/biofuels-carbon-calculator-rtfo</t>
  </si>
  <si>
    <t>RTFO carbon intensity templates</t>
  </si>
  <si>
    <t>https://assets.publishing.service.gov.uk/government/uploads/system/uploads/attachment_data/file/947712/carbon-intensity-data-templates-2021.ods</t>
  </si>
  <si>
    <t>The following links can provide useful data sources that may be relevant to the UK Low Carbon Hydrogen Standard</t>
  </si>
  <si>
    <t>RED II text</t>
  </si>
  <si>
    <t>https://eur-lex.europa.eu/legal-content/EN/TXT/PDF/?uri=CELEX:32018L2001&amp;from=EN</t>
  </si>
  <si>
    <t>JEC WTT v5</t>
  </si>
  <si>
    <t>https://ec.europa.eu/jrc/en/publication/eur-scientific-and-technical-research-reports/jec-well-tank-report-v5</t>
  </si>
  <si>
    <t>JRC updated input data for biofuel GHG default values</t>
  </si>
  <si>
    <t>https://op.europa.eu/en/publication-detail/-/publication/7d6dd4ba-720a-11e9-9f05-01aa75ed71a1</t>
  </si>
  <si>
    <t>JRC updated data for solid/gaseous biogenic GHG default values</t>
  </si>
  <si>
    <t>https://publications.jrc.ec.europa.eu/repository/handle/JRC104759</t>
  </si>
  <si>
    <t>Biograce II biomass electricity, heating, cooling calculator (RED II compliant)</t>
  </si>
  <si>
    <t>https://www.biograce.net/biograce2/</t>
  </si>
  <si>
    <t>Biograce I biofuels calculator (RED I compliant)</t>
  </si>
  <si>
    <t>http://www.biograce.net/home</t>
  </si>
  <si>
    <t>EcoInvent database of GHG emissions</t>
  </si>
  <si>
    <t>https://ecoinvent.org/the-ecoinvent-database/use-of-the-ecoinvent-database/  
https://web.archive.org/web/20190605065129/http://www.arb.ca.gov/fuels/lcfs/workgroups/lcfssustain/ISCC_EU_205_GHG_Calculation_and_GHG_Audit_2.3_eng.pdf</t>
  </si>
  <si>
    <t>IEA Net Zero Emissions by 2050 scenario</t>
  </si>
  <si>
    <t>https://iea.blob.core.windows.net/assets/deebef5d-0c34-4539-9d0c-10b13d840027/NetZeroby2050-ARoadmapfortheGlobalEnergySector_CORR.pdf</t>
  </si>
  <si>
    <t>Wind/solar electricity consignment of Electrolysis</t>
  </si>
  <si>
    <t>Supply chain step (Excel worksheet)</t>
  </si>
  <si>
    <t>UK Low Carbon Hydrogen Standard emissions category</t>
  </si>
  <si>
    <t>Projected or default data?</t>
  </si>
  <si>
    <r>
      <t xml:space="preserve">Step efficiency 
</t>
    </r>
    <r>
      <rPr>
        <b/>
        <sz val="10"/>
        <color rgb="FF000000"/>
        <rFont val="Calibri"/>
        <family val="2"/>
      </rPr>
      <t>(MJ</t>
    </r>
    <r>
      <rPr>
        <b/>
        <vertAlign val="subscript"/>
        <sz val="10"/>
        <color rgb="FF000000"/>
        <rFont val="Calibri"/>
        <family val="2"/>
      </rPr>
      <t>LHV</t>
    </r>
    <r>
      <rPr>
        <b/>
        <sz val="10"/>
        <color rgb="FF000000"/>
        <rFont val="Calibri"/>
        <family val="2"/>
      </rPr>
      <t xml:space="preserve"> main output/MJ</t>
    </r>
    <r>
      <rPr>
        <b/>
        <vertAlign val="subscript"/>
        <sz val="10"/>
        <color rgb="FF000000"/>
        <rFont val="Calibri"/>
        <family val="2"/>
      </rPr>
      <t>LHV</t>
    </r>
    <r>
      <rPr>
        <b/>
        <sz val="10"/>
        <color rgb="FF000000"/>
        <rFont val="Calibri"/>
        <family val="2"/>
      </rPr>
      <t xml:space="preserve"> main input)</t>
    </r>
  </si>
  <si>
    <r>
      <t xml:space="preserve">Cumulative backward chain efficiency 
</t>
    </r>
    <r>
      <rPr>
        <b/>
        <sz val="10"/>
        <color rgb="FF000000"/>
        <rFont val="Calibri"/>
        <family val="2"/>
      </rPr>
      <t>(MJ</t>
    </r>
    <r>
      <rPr>
        <b/>
        <vertAlign val="subscript"/>
        <sz val="10"/>
        <color rgb="FF000000"/>
        <rFont val="Calibri"/>
        <family val="2"/>
      </rPr>
      <t>LHV</t>
    </r>
    <r>
      <rPr>
        <b/>
        <sz val="10"/>
        <color rgb="FF000000"/>
        <rFont val="Calibri"/>
        <family val="2"/>
      </rPr>
      <t xml:space="preserve"> step main output/MJ</t>
    </r>
    <r>
      <rPr>
        <b/>
        <vertAlign val="subscript"/>
        <sz val="10"/>
        <color rgb="FF000000"/>
        <rFont val="Calibri"/>
        <family val="2"/>
      </rPr>
      <t>LHV</t>
    </r>
    <r>
      <rPr>
        <b/>
        <sz val="10"/>
        <color rgb="FF000000"/>
        <rFont val="Calibri"/>
        <family val="2"/>
      </rPr>
      <t xml:space="preserve"> standard H</t>
    </r>
    <r>
      <rPr>
        <b/>
        <vertAlign val="subscript"/>
        <sz val="10"/>
        <color rgb="FF000000"/>
        <rFont val="Calibri"/>
        <family val="2"/>
      </rPr>
      <t>2</t>
    </r>
    <r>
      <rPr>
        <b/>
        <sz val="10"/>
        <color rgb="FF000000"/>
        <rFont val="Calibri"/>
        <family val="2"/>
      </rPr>
      <t>)</t>
    </r>
  </si>
  <si>
    <r>
      <t xml:space="preserve">GHG emissions from step, WITHOUT allocation 
</t>
    </r>
    <r>
      <rPr>
        <b/>
        <sz val="10"/>
        <color rgb="FF000000"/>
        <rFont val="Calibri"/>
        <family val="2"/>
      </rPr>
      <t>(gCO</t>
    </r>
    <r>
      <rPr>
        <b/>
        <vertAlign val="subscript"/>
        <sz val="10"/>
        <color rgb="FF000000"/>
        <rFont val="Calibri"/>
        <family val="2"/>
      </rPr>
      <t>2</t>
    </r>
    <r>
      <rPr>
        <b/>
        <sz val="10"/>
        <color rgb="FF000000"/>
        <rFont val="Calibri"/>
        <family val="2"/>
      </rPr>
      <t>e/MJ</t>
    </r>
    <r>
      <rPr>
        <b/>
        <vertAlign val="subscript"/>
        <sz val="10"/>
        <color rgb="FF000000"/>
        <rFont val="Calibri"/>
        <family val="2"/>
      </rPr>
      <t>LHV</t>
    </r>
    <r>
      <rPr>
        <b/>
        <sz val="10"/>
        <color rgb="FF000000"/>
        <rFont val="Calibri"/>
        <family val="2"/>
      </rPr>
      <t xml:space="preserve"> step main output)</t>
    </r>
  </si>
  <si>
    <r>
      <t xml:space="preserve">GHG emissions from step, WITHOUT allocation 
</t>
    </r>
    <r>
      <rPr>
        <b/>
        <sz val="10"/>
        <color rgb="FF000000"/>
        <rFont val="Calibri"/>
        <family val="2"/>
      </rPr>
      <t>(gCO</t>
    </r>
    <r>
      <rPr>
        <b/>
        <vertAlign val="subscript"/>
        <sz val="10"/>
        <color rgb="FF000000"/>
        <rFont val="Calibri"/>
        <family val="2"/>
      </rPr>
      <t>2</t>
    </r>
    <r>
      <rPr>
        <b/>
        <sz val="10"/>
        <color rgb="FF000000"/>
        <rFont val="Calibri"/>
        <family val="2"/>
      </rPr>
      <t>e/MJ</t>
    </r>
    <r>
      <rPr>
        <b/>
        <vertAlign val="subscript"/>
        <sz val="10"/>
        <color rgb="FF000000"/>
        <rFont val="Calibri"/>
        <family val="2"/>
      </rPr>
      <t>LHV</t>
    </r>
    <r>
      <rPr>
        <b/>
        <sz val="10"/>
        <color rgb="FF000000"/>
        <rFont val="Calibri"/>
        <family val="2"/>
      </rPr>
      <t xml:space="preserve"> standard H</t>
    </r>
    <r>
      <rPr>
        <b/>
        <vertAlign val="subscript"/>
        <sz val="10"/>
        <color rgb="FF000000"/>
        <rFont val="Calibri"/>
        <family val="2"/>
      </rPr>
      <t>2</t>
    </r>
    <r>
      <rPr>
        <b/>
        <sz val="10"/>
        <color rgb="FF000000"/>
        <rFont val="Calibri"/>
        <family val="2"/>
      </rPr>
      <t>)</t>
    </r>
  </si>
  <si>
    <t>Allocation of GHG emissions to main output of each step</t>
  </si>
  <si>
    <t>Cumulative backward chain allocation of GHG emissions</t>
  </si>
  <si>
    <r>
      <t xml:space="preserve">Projected GHG emissions from step, WITH allocation
</t>
    </r>
    <r>
      <rPr>
        <b/>
        <sz val="10"/>
        <color rgb="FF000000"/>
        <rFont val="Calibri"/>
        <family val="2"/>
      </rPr>
      <t>(gCO</t>
    </r>
    <r>
      <rPr>
        <b/>
        <vertAlign val="subscript"/>
        <sz val="10"/>
        <color rgb="FF000000"/>
        <rFont val="Calibri"/>
        <family val="2"/>
      </rPr>
      <t>2</t>
    </r>
    <r>
      <rPr>
        <b/>
        <sz val="10"/>
        <color rgb="FF000000"/>
        <rFont val="Calibri"/>
        <family val="2"/>
      </rPr>
      <t>e/MJ</t>
    </r>
    <r>
      <rPr>
        <b/>
        <vertAlign val="subscript"/>
        <sz val="10"/>
        <color rgb="FF000000"/>
        <rFont val="Calibri"/>
        <family val="2"/>
      </rPr>
      <t>LHV</t>
    </r>
    <r>
      <rPr>
        <b/>
        <sz val="10"/>
        <color rgb="FF000000"/>
        <rFont val="Calibri"/>
        <family val="2"/>
      </rPr>
      <t xml:space="preserve"> standard H</t>
    </r>
    <r>
      <rPr>
        <b/>
        <vertAlign val="subscript"/>
        <sz val="10"/>
        <color rgb="FF000000"/>
        <rFont val="Calibri"/>
        <family val="2"/>
      </rPr>
      <t>2</t>
    </r>
    <r>
      <rPr>
        <b/>
        <sz val="10"/>
        <color rgb="FF000000"/>
        <rFont val="Calibri"/>
        <family val="2"/>
      </rPr>
      <t>)</t>
    </r>
  </si>
  <si>
    <r>
      <t>Default GHG emissions from step</t>
    </r>
    <r>
      <rPr>
        <b/>
        <sz val="10"/>
        <color rgb="FF000000"/>
        <rFont val="Calibri"/>
        <family val="2"/>
      </rPr>
      <t xml:space="preserve"> 
(gCO</t>
    </r>
    <r>
      <rPr>
        <b/>
        <vertAlign val="subscript"/>
        <sz val="10"/>
        <color rgb="FF000000"/>
        <rFont val="Calibri"/>
        <family val="2"/>
      </rPr>
      <t>2</t>
    </r>
    <r>
      <rPr>
        <b/>
        <sz val="10"/>
        <color rgb="FF000000"/>
        <rFont val="Calibri"/>
        <family val="2"/>
      </rPr>
      <t>e/MJ</t>
    </r>
    <r>
      <rPr>
        <b/>
        <vertAlign val="subscript"/>
        <sz val="10"/>
        <color rgb="FF000000"/>
        <rFont val="Calibri"/>
        <family val="2"/>
      </rPr>
      <t>LHV</t>
    </r>
    <r>
      <rPr>
        <b/>
        <sz val="10"/>
        <color rgb="FF000000"/>
        <rFont val="Calibri"/>
        <family val="2"/>
      </rPr>
      <t xml:space="preserve"> standard H</t>
    </r>
    <r>
      <rPr>
        <b/>
        <vertAlign val="subscript"/>
        <sz val="10"/>
        <color rgb="FF000000"/>
        <rFont val="Calibri"/>
        <family val="2"/>
      </rPr>
      <t>2</t>
    </r>
    <r>
      <rPr>
        <b/>
        <sz val="10"/>
        <color rgb="FF000000"/>
        <rFont val="Calibri"/>
        <family val="2"/>
      </rPr>
      <t>)</t>
    </r>
  </si>
  <si>
    <r>
      <t xml:space="preserve">Selected GHG emissions from step 
</t>
    </r>
    <r>
      <rPr>
        <b/>
        <sz val="10"/>
        <color rgb="FF000000"/>
        <rFont val="Calibri"/>
        <family val="2"/>
      </rPr>
      <t>(gCO</t>
    </r>
    <r>
      <rPr>
        <b/>
        <vertAlign val="subscript"/>
        <sz val="10"/>
        <color rgb="FF000000"/>
        <rFont val="Calibri"/>
        <family val="2"/>
      </rPr>
      <t>2</t>
    </r>
    <r>
      <rPr>
        <b/>
        <sz val="10"/>
        <color rgb="FF000000"/>
        <rFont val="Calibri"/>
        <family val="2"/>
      </rPr>
      <t>e/MJ</t>
    </r>
    <r>
      <rPr>
        <b/>
        <vertAlign val="subscript"/>
        <sz val="10"/>
        <color rgb="FF000000"/>
        <rFont val="Calibri"/>
        <family val="2"/>
      </rPr>
      <t>LHV</t>
    </r>
    <r>
      <rPr>
        <b/>
        <sz val="10"/>
        <color rgb="FF000000"/>
        <rFont val="Calibri"/>
        <family val="2"/>
      </rPr>
      <t xml:space="preserve"> standard H</t>
    </r>
    <r>
      <rPr>
        <b/>
        <vertAlign val="subscript"/>
        <sz val="10"/>
        <color rgb="FF000000"/>
        <rFont val="Calibri"/>
        <family val="2"/>
      </rPr>
      <t>2</t>
    </r>
    <r>
      <rPr>
        <b/>
        <sz val="10"/>
        <color rgb="FF000000"/>
        <rFont val="Calibri"/>
        <family val="2"/>
      </rPr>
      <t>)</t>
    </r>
  </si>
  <si>
    <r>
      <t>Wind/solar PV PEM electrolysis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</si>
  <si>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Wind/solar PV electrolysis PEM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</si>
  <si>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Wind/solar PV electrolysis PEM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</si>
  <si>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Process CO</t>
    </r>
    <r>
      <rPr>
        <vertAlign val="subscript"/>
        <sz val="11"/>
        <color theme="10"/>
        <rFont val="Calibri"/>
        <family val="2"/>
      </rPr>
      <t>2</t>
    </r>
    <r>
      <rPr>
        <sz val="11"/>
        <color theme="10"/>
        <rFont val="Calibri"/>
        <family val="2"/>
      </rPr>
      <t xml:space="preserve"> emissions</t>
    </r>
  </si>
  <si>
    <t>Must be projected</t>
  </si>
  <si>
    <r>
      <t>CO</t>
    </r>
    <r>
      <rPr>
        <vertAlign val="subscript"/>
        <sz val="11"/>
        <color theme="10"/>
        <rFont val="Calibri"/>
        <family val="2"/>
      </rPr>
      <t>2</t>
    </r>
    <r>
      <rPr>
        <sz val="11"/>
        <color theme="10"/>
        <rFont val="Calibri"/>
        <family val="2"/>
      </rPr>
      <t xml:space="preserve"> capture and network entry</t>
    </r>
  </si>
  <si>
    <r>
      <t>CO</t>
    </r>
    <r>
      <rPr>
        <vertAlign val="subscript"/>
        <sz val="11"/>
        <color theme="10"/>
        <rFont val="Calibri"/>
        <family val="2"/>
      </rPr>
      <t>2</t>
    </r>
    <r>
      <rPr>
        <sz val="11"/>
        <color theme="10"/>
        <rFont val="Calibri"/>
        <family val="2"/>
      </rPr>
      <t xml:space="preserve"> sequestration</t>
    </r>
  </si>
  <si>
    <r>
      <t>Fugitive non-CO</t>
    </r>
    <r>
      <rPr>
        <vertAlign val="subscript"/>
        <sz val="11"/>
        <color theme="10"/>
        <rFont val="Calibri"/>
        <family val="2"/>
      </rPr>
      <t>2</t>
    </r>
    <r>
      <rPr>
        <sz val="11"/>
        <color theme="10"/>
        <rFont val="Calibri"/>
        <family val="2"/>
      </rPr>
      <t xml:space="preserve"> emissions</t>
    </r>
  </si>
  <si>
    <r>
      <t>Theoretical H</t>
    </r>
    <r>
      <rPr>
        <vertAlign val="subscript"/>
        <sz val="11"/>
        <color theme="10"/>
        <rFont val="Calibri"/>
        <family val="2"/>
      </rPr>
      <t>2</t>
    </r>
    <r>
      <rPr>
        <sz val="11"/>
        <color theme="10"/>
        <rFont val="Calibri"/>
        <family val="2"/>
      </rPr>
      <t xml:space="preserve"> Compression</t>
    </r>
  </si>
  <si>
    <t>Compression and purification</t>
  </si>
  <si>
    <t>Set formula if &lt;3 MPa, or default Energy supply and &gt;3 MPa</t>
  </si>
  <si>
    <t>Included within Energy Supply</t>
  </si>
  <si>
    <r>
      <t>Theoretical H</t>
    </r>
    <r>
      <rPr>
        <vertAlign val="subscript"/>
        <sz val="11"/>
        <color theme="10"/>
        <rFont val="Calibri"/>
        <family val="2"/>
      </rPr>
      <t>2</t>
    </r>
    <r>
      <rPr>
        <sz val="11"/>
        <color theme="10"/>
        <rFont val="Calibri"/>
        <family val="2"/>
      </rPr>
      <t xml:space="preserve"> Purification</t>
    </r>
  </si>
  <si>
    <t>Set formula if &lt;99.9% by vol, or default Energy supply and &gt;99.9%</t>
  </si>
  <si>
    <t>Total chain</t>
  </si>
  <si>
    <t>Standard threshold</t>
  </si>
  <si>
    <t>NB: the central, best and worst case values are specific to a certain electricity mix (in this case, 100% wind/solar electricity), so values in these columns may not be appropriate for comparison with your pathway.</t>
  </si>
  <si>
    <t>Nuclear electricity consignment of Electrolysis</t>
  </si>
  <si>
    <r>
      <t>Nuclear PEM electrolysis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</si>
  <si>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Nuclear PEM electrolysis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</si>
  <si>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Nuclear PEM electrolysis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</si>
  <si>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t>NB: the central, best and worst case values are specific to a certain electricity mix (in this case, 100% nuclear electricity), so values in these columns may not be appropriate for comparison with your pathway.</t>
  </si>
  <si>
    <t>Grid electricity consignment of Electrolysis</t>
  </si>
  <si>
    <r>
      <t>Grid PEM electrolysis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</si>
  <si>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Grid PEM electrolysis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</si>
  <si>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Grid PEM electrolysis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</si>
  <si>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t>NB: the central, best and worst case values are specific to a certain electricity mix (in this case, 100% grid electricity), so values in these columns may not be appropriate for comparison with your pathway.</t>
  </si>
  <si>
    <t>Stored electricity consignment of Electrolysis</t>
  </si>
  <si>
    <t>Other electricity consignment of Electrolysis</t>
  </si>
  <si>
    <t>NG Feedstock Collection</t>
  </si>
  <si>
    <t>Feedstock supply</t>
  </si>
  <si>
    <t>NG Feedstock Transport</t>
  </si>
  <si>
    <t>NB: the central, best and worst case values from the LCA tool are specific to certain feedstocks (UK weighted average supply, Norwegian piped gas and imported LNG respectively), so values in these columns may not be appropriate for comparison with your pathway.</t>
  </si>
  <si>
    <t>NG Splitting Producing Solid Carbon</t>
  </si>
  <si>
    <t>Solid carbon distribution</t>
  </si>
  <si>
    <t>Solid carbon sequestration</t>
  </si>
  <si>
    <r>
      <t>Food waste biomethane to ATR+CCS,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</si>
  <si>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Food waste biomethane+CCS to ATR+CCS,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</si>
  <si>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Maize biomethane to ATR+CCS,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</si>
  <si>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t>Must be projected if purpose-grown feedstock</t>
  </si>
  <si>
    <t>Biogas + Biomethane Upgrading</t>
  </si>
  <si>
    <t>Biomethane Reforming (+CCS)</t>
  </si>
  <si>
    <r>
      <t>Process CO</t>
    </r>
    <r>
      <rPr>
        <vertAlign val="subscript"/>
        <sz val="11"/>
        <rFont val="Calibri"/>
        <family val="2"/>
      </rPr>
      <t>2</t>
    </r>
    <r>
      <rPr>
        <sz val="11"/>
        <rFont val="Calibri"/>
        <family val="2"/>
      </rPr>
      <t xml:space="preserve"> emissions</t>
    </r>
  </si>
  <si>
    <r>
      <t>NB: the central, best and worst case values are specific to certain feedstocks (food waste, food waste with biomethane CO</t>
    </r>
    <r>
      <rPr>
        <vertAlign val="subscript"/>
        <sz val="11"/>
        <color rgb="FF000000"/>
        <rFont val="Calibri"/>
        <family val="2"/>
      </rPr>
      <t>2</t>
    </r>
    <r>
      <rPr>
        <sz val="11"/>
        <color rgb="FF000000"/>
        <rFont val="Calibri"/>
        <family val="2"/>
      </rPr>
      <t xml:space="preserve"> capture, and whole maize crop respectively), so values in these columns may not be appropriate for comparison with your pathway.</t>
    </r>
  </si>
  <si>
    <r>
      <t>Forestry residue gasification+CCS,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</si>
  <si>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Forestry residue gasification+CCS,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</si>
  <si>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Forestry residue gasification+CCS,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</si>
  <si>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t>Biomass Gasification (+CCS)</t>
  </si>
  <si>
    <t>NB: the central, best and worst case values from the LCA tool are specific to certain feedstocks (in this case forestry residues), so values in these columns may not be appropriate for comparison with your pathway.</t>
  </si>
  <si>
    <t>Biogenic fraction consignment of Waste Gasification</t>
  </si>
  <si>
    <r>
      <t>Biogenic fraction of MSW gasification+CCS,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</si>
  <si>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Biogenic fraction of MSW gasification+CCS,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</si>
  <si>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Biogenic fraction of MSW gasification+CCS,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</si>
  <si>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t>Waste Gasification (+CCS) (bio)</t>
  </si>
  <si>
    <t>NB: the central, best and worst case values are specific to certain feedstocks (in this case, municipal waste with 49% biogenic and 51% fossil fractions), so values in these columns may not be appropriate for comparison with your pathway.</t>
  </si>
  <si>
    <t>Fossil fraction consignment of Waste Gasification</t>
  </si>
  <si>
    <r>
      <t>Fossil fraction of MSW gasification+CCS,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</si>
  <si>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Fossil fraction of MSW gasification+CCS,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</si>
  <si>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Fossil fraction of MSW gasification+CCS,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</si>
  <si>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t>Fossil counterfactual</t>
  </si>
  <si>
    <t>Waste Gasification (+CCS) (fossil)</t>
  </si>
  <si>
    <t>Set formula if &lt;3 MPa</t>
  </si>
  <si>
    <t>Set formula if &lt;99.9% by vol</t>
  </si>
  <si>
    <t>Waste fossil counterfactual</t>
  </si>
  <si>
    <t>Feedstock Cultivation</t>
  </si>
  <si>
    <t>Feedstock Harvesting</t>
  </si>
  <si>
    <t>Feedstock Collection</t>
  </si>
  <si>
    <t>Feedstock Transport</t>
  </si>
  <si>
    <t>Pre-Processing</t>
  </si>
  <si>
    <t>Further Transport</t>
  </si>
  <si>
    <t>Conversion</t>
  </si>
  <si>
    <t>Go to the summary GHG worksheet</t>
  </si>
  <si>
    <t>Type of flow</t>
  </si>
  <si>
    <t>Description of flow</t>
  </si>
  <si>
    <t>Further flow details (e.g. energy source, type, distance, temperature, pressure, purity, moisture content)</t>
  </si>
  <si>
    <t>Source / evidence (e.g. production reports, contracts, delivery notes, lab testing, model)</t>
  </si>
  <si>
    <t>Flow in from/out to:</t>
  </si>
  <si>
    <t>Does flow cross the GHG assessment boundary?</t>
  </si>
  <si>
    <t>Lower heating value [LHV] (MJ/kg dry)</t>
  </si>
  <si>
    <t>Reference for LHV</t>
  </si>
  <si>
    <t>Moisture content (kg water/kg as received)</t>
  </si>
  <si>
    <t>Reference for moisture content</t>
  </si>
  <si>
    <t>Equivalent energy flow for efficiencies (MWh/yr LHV)</t>
  </si>
  <si>
    <r>
      <t>Step efficiency (MJ</t>
    </r>
    <r>
      <rPr>
        <b/>
        <vertAlign val="subscript"/>
        <sz val="11"/>
        <color rgb="FF000098"/>
        <rFont val="Calibri"/>
        <family val="2"/>
      </rPr>
      <t>LHV</t>
    </r>
    <r>
      <rPr>
        <b/>
        <sz val="11"/>
        <color rgb="FF000098"/>
        <rFont val="Calibri"/>
        <family val="2"/>
      </rPr>
      <t xml:space="preserve"> main output/MJ</t>
    </r>
    <r>
      <rPr>
        <b/>
        <vertAlign val="subscript"/>
        <sz val="11"/>
        <color rgb="FF000098"/>
        <rFont val="Calibri"/>
        <family val="2"/>
      </rPr>
      <t>LHV</t>
    </r>
    <r>
      <rPr>
        <b/>
        <sz val="11"/>
        <color rgb="FF000098"/>
        <rFont val="Calibri"/>
        <family val="2"/>
      </rPr>
      <t xml:space="preserve"> electricity and heat inputs)</t>
    </r>
  </si>
  <si>
    <t>Equivalent energy flow for energy allocation (MWh/yr LHV)</t>
  </si>
  <si>
    <r>
      <t>Energy allocation (MJ</t>
    </r>
    <r>
      <rPr>
        <b/>
        <vertAlign val="subscript"/>
        <sz val="11"/>
        <color rgb="FF000098"/>
        <rFont val="Calibri"/>
        <family val="2"/>
      </rPr>
      <t>LHV</t>
    </r>
    <r>
      <rPr>
        <b/>
        <sz val="11"/>
        <color rgb="FF000098"/>
        <rFont val="Calibri"/>
        <family val="2"/>
      </rPr>
      <t>/MJ</t>
    </r>
    <r>
      <rPr>
        <b/>
        <vertAlign val="subscript"/>
        <sz val="11"/>
        <color rgb="FF000098"/>
        <rFont val="Calibri"/>
        <family val="2"/>
      </rPr>
      <t>LHV</t>
    </r>
    <r>
      <rPr>
        <b/>
        <sz val="11"/>
        <color rgb="FF000098"/>
        <rFont val="Calibri"/>
        <family val="2"/>
      </rPr>
      <t xml:space="preserve"> all products)</t>
    </r>
  </si>
  <si>
    <r>
      <t>GHG intensity 
(gCO</t>
    </r>
    <r>
      <rPr>
        <b/>
        <vertAlign val="subscript"/>
        <sz val="11"/>
        <color rgb="FF000098"/>
        <rFont val="Calibri"/>
        <family val="2"/>
      </rPr>
      <t>2</t>
    </r>
    <r>
      <rPr>
        <b/>
        <sz val="11"/>
        <color rgb="FF000098"/>
        <rFont val="Calibri"/>
        <family val="2"/>
      </rPr>
      <t>e/kg of material) - for flows with tonnes/yr units</t>
    </r>
  </si>
  <si>
    <r>
      <t>GHG intensity 
(gCO</t>
    </r>
    <r>
      <rPr>
        <b/>
        <vertAlign val="subscript"/>
        <sz val="11"/>
        <color rgb="FF000098"/>
        <rFont val="Calibri"/>
        <family val="2"/>
      </rPr>
      <t>2</t>
    </r>
    <r>
      <rPr>
        <b/>
        <sz val="11"/>
        <color rgb="FF000098"/>
        <rFont val="Calibri"/>
        <family val="2"/>
      </rPr>
      <t>e/MJ</t>
    </r>
    <r>
      <rPr>
        <b/>
        <vertAlign val="subscript"/>
        <sz val="11"/>
        <color rgb="FF000098"/>
        <rFont val="Calibri"/>
        <family val="2"/>
      </rPr>
      <t>LHV</t>
    </r>
    <r>
      <rPr>
        <b/>
        <sz val="11"/>
        <color rgb="FF000098"/>
        <rFont val="Calibri"/>
        <family val="2"/>
      </rPr>
      <t xml:space="preserve"> of energy) - for flows with MWh/yr (LHV) units</t>
    </r>
  </si>
  <si>
    <t>Reference for GHG intensity</t>
  </si>
  <si>
    <r>
      <t>GHG emissions (gCO</t>
    </r>
    <r>
      <rPr>
        <b/>
        <vertAlign val="subscript"/>
        <sz val="11"/>
        <color rgb="FF000098"/>
        <rFont val="Calibri"/>
        <family val="2"/>
      </rPr>
      <t>2</t>
    </r>
    <r>
      <rPr>
        <b/>
        <sz val="11"/>
        <color rgb="FF000098"/>
        <rFont val="Calibri"/>
        <family val="2"/>
      </rPr>
      <t>e/MJ</t>
    </r>
    <r>
      <rPr>
        <b/>
        <vertAlign val="subscript"/>
        <sz val="11"/>
        <color rgb="FF000098"/>
        <rFont val="Calibri"/>
        <family val="2"/>
      </rPr>
      <t>LHV</t>
    </r>
    <r>
      <rPr>
        <b/>
        <sz val="11"/>
        <color rgb="FF000098"/>
        <rFont val="Calibri"/>
        <family val="2"/>
      </rPr>
      <t xml:space="preserve"> step main output), WITHOUT allocation</t>
    </r>
  </si>
  <si>
    <t>Comments &amp; questions</t>
  </si>
  <si>
    <t>Step main input and (co)products</t>
  </si>
  <si>
    <t>Main feedstock</t>
  </si>
  <si>
    <t>None - please fill in electricity and water usage in sections below</t>
  </si>
  <si>
    <t>Main output</t>
  </si>
  <si>
    <t>Hydrogen (wind/solar + nuclear + grid + stored + other consignments)</t>
  </si>
  <si>
    <t>Co-products</t>
  </si>
  <si>
    <t>e.g. Exported steam</t>
  </si>
  <si>
    <t>e.g. Oxygen</t>
  </si>
  <si>
    <t>e.g. Co-product 3</t>
  </si>
  <si>
    <t>e.g. Co-product 4</t>
  </si>
  <si>
    <t>Wastes</t>
  </si>
  <si>
    <t>e.g. Wastewater (gross output)</t>
  </si>
  <si>
    <t>e.g. Spent catalysts</t>
  </si>
  <si>
    <t>Residues</t>
  </si>
  <si>
    <t>e.g. Sulphur</t>
  </si>
  <si>
    <t>e.g. Ash</t>
  </si>
  <si>
    <t>gCO2e/MJ wind or solar H2</t>
  </si>
  <si>
    <t>Energy supply - wind/solar hydrogen consignment (electricity). Include any wind/solar electricity used in onsite (non-theoretical) Compression &amp; Purification</t>
  </si>
  <si>
    <t>Energy</t>
  </si>
  <si>
    <t>e.g. Annual wind/solar electricity to electrolyser and de-ionisation of water and onsite compression/purification</t>
  </si>
  <si>
    <t>From Typical data tab</t>
  </si>
  <si>
    <t>gCO2e/MJ nuclear H2</t>
  </si>
  <si>
    <t>Energy supply - nuclear hydrogen consignment (electricity). Include any nuclear electricity used in onsite (non-theoretical) Compression &amp; Purification</t>
  </si>
  <si>
    <t>e.g. Annual nuclear electricity to electrolyser and de-ionisation of water and onsite compression/purification</t>
  </si>
  <si>
    <t>From Initial Questions tab</t>
  </si>
  <si>
    <t>gCO2e/MJ grid H2</t>
  </si>
  <si>
    <t>Energy supply - grid hydrogen consignment (electricity). Include any grid electricity used in onsite (non-theoretical) Compression &amp; Purification</t>
  </si>
  <si>
    <t>e.g. Annual grid electricity to electrolyser and de-ionisation of water and onsite compression/purification</t>
  </si>
  <si>
    <t>gCO2e/MJ stored elec H2</t>
  </si>
  <si>
    <t>Energy supply - "stored electricity source" hydrogen consignment (electricity). Include any "stored electricity source" used in onsite (non-theoretical) Compression &amp; Purification</t>
  </si>
  <si>
    <t>e.g. Annual stored electricity to electrolyser and de-ionisation of water and onsite compression/purification</t>
  </si>
  <si>
    <t>gCO2e/MJ other H2</t>
  </si>
  <si>
    <t>Energy supply - "other electricity source" hydrogen consignment (electricity). Include any "other electricity source" used in onsite (non-theoretical) Compression &amp; Purification</t>
  </si>
  <si>
    <t>e.g. Annual electricity to electrolyser and de-ionisation of water and onsite compression/purification</t>
  </si>
  <si>
    <t>gCO2e/MJ all H2</t>
  </si>
  <si>
    <t>Energy supply (steam, heat, upstream fuel supply emissions) used across all consignments, excluding consignment energy flows already listed above. Include any non-electricity energy sources used in onsite (non-theoretical) Compression &amp; Purification</t>
  </si>
  <si>
    <t>e.g. Imported steam (not generated onsite)</t>
  </si>
  <si>
    <t>Accounting for only the upstream supply chain to the plant within the GHG intensity (extraction, manufacturing and supply of the input).</t>
  </si>
  <si>
    <t>e.g. Imported heat (not generated onsite)</t>
  </si>
  <si>
    <t>Fuels</t>
  </si>
  <si>
    <t>e.g. Diesel</t>
  </si>
  <si>
    <t>Accounting for only the upstream supply chain to the plant within the GHG intensity (extraction, manufacturing and supply of the input). Record any CO2 released on use in Process CO2 generated table below</t>
  </si>
  <si>
    <t>e.g. Heating oil</t>
  </si>
  <si>
    <t>e.g. Coal</t>
  </si>
  <si>
    <r>
      <t>Input materials (upstream emissions in manufacture and supply of materials to the process plant, but not emissions from their onsite use - which are dealt with in Process CO</t>
    </r>
    <r>
      <rPr>
        <b/>
        <vertAlign val="subscript"/>
        <sz val="11"/>
        <color rgb="FF000098"/>
        <rFont val="Calibri"/>
        <family val="2"/>
      </rPr>
      <t>2</t>
    </r>
    <r>
      <rPr>
        <b/>
        <sz val="11"/>
        <color rgb="FF000098"/>
        <rFont val="Calibri"/>
        <family val="2"/>
      </rPr>
      <t xml:space="preserve"> generation or Fugitive non-CO</t>
    </r>
    <r>
      <rPr>
        <b/>
        <vertAlign val="subscript"/>
        <sz val="11"/>
        <color rgb="FF000098"/>
        <rFont val="Calibri"/>
        <family val="2"/>
      </rPr>
      <t>2</t>
    </r>
    <r>
      <rPr>
        <b/>
        <sz val="11"/>
        <color rgb="FF000098"/>
        <rFont val="Calibri"/>
        <family val="2"/>
      </rPr>
      <t xml:space="preserve"> emissions categories). Include any materials used in onsite (non-theoretical) Compression &amp; Purification</t>
    </r>
  </si>
  <si>
    <t>Water</t>
  </si>
  <si>
    <t>e.g. Mains water (gross input)</t>
  </si>
  <si>
    <t>Accounting for only the upstream supply chain to the plant within the GHG intensity (manufacturing and supply of the material). Record any CO2 released on use in Process CO2 generated table below</t>
  </si>
  <si>
    <t>Chemicals</t>
  </si>
  <si>
    <t>e.g. Acid</t>
  </si>
  <si>
    <t>e.g. Alkali solution</t>
  </si>
  <si>
    <t>Catalysts</t>
  </si>
  <si>
    <t>e.g. Catalyst</t>
  </si>
  <si>
    <r>
      <t>Process CO</t>
    </r>
    <r>
      <rPr>
        <b/>
        <vertAlign val="subscript"/>
        <sz val="11"/>
        <color rgb="FF000098"/>
        <rFont val="Calibri"/>
        <family val="2"/>
      </rPr>
      <t>2</t>
    </r>
    <r>
      <rPr>
        <b/>
        <sz val="11"/>
        <color rgb="FF000098"/>
        <rFont val="Calibri"/>
        <family val="2"/>
      </rPr>
      <t xml:space="preserve"> emissions generated in hydrogen production, prior to any CO</t>
    </r>
    <r>
      <rPr>
        <b/>
        <vertAlign val="subscript"/>
        <sz val="11"/>
        <color rgb="FF000098"/>
        <rFont val="Calibri"/>
        <family val="2"/>
      </rPr>
      <t>2</t>
    </r>
    <r>
      <rPr>
        <b/>
        <sz val="11"/>
        <color rgb="FF000098"/>
        <rFont val="Calibri"/>
        <family val="2"/>
      </rPr>
      <t xml:space="preserve"> capture</t>
    </r>
  </si>
  <si>
    <t>CO2 generated</t>
  </si>
  <si>
    <t>e.g. Fossil CO2 emissions generated from combustion/conversion/use of diesel, natural gas, other energy and input materials onsite</t>
  </si>
  <si>
    <t>IPCC Fifth Assessment Report (AR5), GWP100 without carbon feedbacks</t>
  </si>
  <si>
    <r>
      <t>CO</t>
    </r>
    <r>
      <rPr>
        <b/>
        <vertAlign val="subscript"/>
        <sz val="11"/>
        <color rgb="FF000098"/>
        <rFont val="Calibri"/>
        <family val="2"/>
      </rPr>
      <t>2</t>
    </r>
    <r>
      <rPr>
        <b/>
        <sz val="11"/>
        <color rgb="FF000098"/>
        <rFont val="Calibri"/>
        <family val="2"/>
      </rPr>
      <t xml:space="preserve"> capture and network entry (includes CO</t>
    </r>
    <r>
      <rPr>
        <b/>
        <vertAlign val="subscript"/>
        <sz val="11"/>
        <color rgb="FF000098"/>
        <rFont val="Calibri"/>
        <family val="2"/>
      </rPr>
      <t>2</t>
    </r>
    <r>
      <rPr>
        <b/>
        <sz val="11"/>
        <color rgb="FF000098"/>
        <rFont val="Calibri"/>
        <family val="2"/>
      </rPr>
      <t xml:space="preserve"> transport to network)</t>
    </r>
  </si>
  <si>
    <t>e.g. Electricity for CO2 capture</t>
  </si>
  <si>
    <t>From Initial questions tab</t>
  </si>
  <si>
    <t>e.g. Electricity for CO2 transport</t>
  </si>
  <si>
    <t>Likely to be UK grid electricity</t>
  </si>
  <si>
    <t>e.g. Diesel for CO2 transport</t>
  </si>
  <si>
    <t>Accounting for both supply and combustion of any fuel within the GHG intensity</t>
  </si>
  <si>
    <t>e.g. Gasoline for CO2 transport</t>
  </si>
  <si>
    <t>e.g. Electricity for CO2 entry into network</t>
  </si>
  <si>
    <r>
      <t>CO</t>
    </r>
    <r>
      <rPr>
        <b/>
        <vertAlign val="subscript"/>
        <sz val="11"/>
        <color rgb="FF000098"/>
        <rFont val="Calibri"/>
        <family val="2"/>
      </rPr>
      <t>2</t>
    </r>
    <r>
      <rPr>
        <b/>
        <sz val="11"/>
        <color rgb="FF000098"/>
        <rFont val="Calibri"/>
        <family val="2"/>
      </rPr>
      <t xml:space="preserve"> sequestration</t>
    </r>
  </si>
  <si>
    <t>CO2 sequestered</t>
  </si>
  <si>
    <t>e.g. Fossil CO2 captured and sequestered</t>
  </si>
  <si>
    <t>CH4 emissions</t>
  </si>
  <si>
    <t>e.g. Methane emitted, net of any mitigation</t>
  </si>
  <si>
    <t>N2O emissions</t>
  </si>
  <si>
    <t>e.g. N2O emitted, net of any mitigation</t>
  </si>
  <si>
    <t>SF6 emissions</t>
  </si>
  <si>
    <t>e.g. SF6 emitted, net of any mitigation</t>
  </si>
  <si>
    <t>HFC emissions</t>
  </si>
  <si>
    <t>e.g. HFC emitted, net of any mitigation</t>
  </si>
  <si>
    <t>User to input</t>
  </si>
  <si>
    <t>Step total (gCO2e/MJ wind or solar H2)</t>
  </si>
  <si>
    <t>Step total (gCO2e/MJ nuclear H2)</t>
  </si>
  <si>
    <t>Step total (gCO2e/MJ grid H2)</t>
  </si>
  <si>
    <t>Step total (gCO2e/MJ stored elec H2)</t>
  </si>
  <si>
    <t>Step total (gCO2e/MJ other H2)</t>
  </si>
  <si>
    <t>Operating hours</t>
  </si>
  <si>
    <t>Full-load equivalents</t>
  </si>
  <si>
    <t>hr/yr</t>
  </si>
  <si>
    <t>Electricity mix</t>
  </si>
  <si>
    <t>Other electricity</t>
  </si>
  <si>
    <t>Capture rate</t>
  </si>
  <si>
    <t>e.g. CCS capture rate</t>
  </si>
  <si>
    <t>Go to the next step of this pathway</t>
  </si>
  <si>
    <t>Further flow details (eg. energy source, type, distance, temperature, pressure, purity, moisture content)</t>
  </si>
  <si>
    <r>
      <t>Step efficiency 
(MJ</t>
    </r>
    <r>
      <rPr>
        <b/>
        <vertAlign val="subscript"/>
        <sz val="11"/>
        <color rgb="FF000098"/>
        <rFont val="Calibri"/>
        <family val="2"/>
      </rPr>
      <t>LHV</t>
    </r>
    <r>
      <rPr>
        <b/>
        <sz val="11"/>
        <color rgb="FF000098"/>
        <rFont val="Calibri"/>
        <family val="2"/>
      </rPr>
      <t xml:space="preserve"> main output/MJ</t>
    </r>
    <r>
      <rPr>
        <b/>
        <vertAlign val="subscript"/>
        <sz val="11"/>
        <color rgb="FF000098"/>
        <rFont val="Calibri"/>
        <family val="2"/>
      </rPr>
      <t>LHV</t>
    </r>
    <r>
      <rPr>
        <b/>
        <sz val="11"/>
        <color rgb="FF000098"/>
        <rFont val="Calibri"/>
        <family val="2"/>
      </rPr>
      <t xml:space="preserve"> main input)</t>
    </r>
  </si>
  <si>
    <r>
      <t>Energy allocation (MJ</t>
    </r>
    <r>
      <rPr>
        <b/>
        <vertAlign val="subscript"/>
        <sz val="11"/>
        <color rgb="FF000098"/>
        <rFont val="Calibri"/>
        <family val="2"/>
      </rPr>
      <t>LHV</t>
    </r>
    <r>
      <rPr>
        <b/>
        <sz val="11"/>
        <color rgb="FF000098"/>
        <rFont val="Calibri"/>
        <family val="2"/>
      </rPr>
      <t xml:space="preserve"> main product/MJ</t>
    </r>
    <r>
      <rPr>
        <b/>
        <vertAlign val="subscript"/>
        <sz val="11"/>
        <color rgb="FF000098"/>
        <rFont val="Calibri"/>
        <family val="2"/>
      </rPr>
      <t>LHV</t>
    </r>
    <r>
      <rPr>
        <b/>
        <sz val="11"/>
        <color rgb="FF000098"/>
        <rFont val="Calibri"/>
        <family val="2"/>
      </rPr>
      <t xml:space="preserve"> all products)</t>
    </r>
  </si>
  <si>
    <t>Inputs</t>
  </si>
  <si>
    <t>e.g. Electricity</t>
  </si>
  <si>
    <t>e.g. Steam</t>
  </si>
  <si>
    <t>Accounting for only the upstream supply chain to the plant within the GHG intensity (extraction, manufacturing and supply of the input). Record any CO2 released on use in outputs table below</t>
  </si>
  <si>
    <t>e.g. Chemicals</t>
  </si>
  <si>
    <t xml:space="preserve">Catalysts </t>
  </si>
  <si>
    <t>Outputs</t>
  </si>
  <si>
    <t>Step main output</t>
  </si>
  <si>
    <t>e.g. Natural gas</t>
  </si>
  <si>
    <t>e.g. Co-product 1</t>
  </si>
  <si>
    <t>e.g. Co-product 2</t>
  </si>
  <si>
    <t>e.g. Wastewater</t>
  </si>
  <si>
    <t>e.g. Fossil CO2 generated from use of inputs &amp; feedstock, prior to any CO2 capture</t>
  </si>
  <si>
    <t>Fossil CO2 generated, prior to any CO2 capture, is given a penalty of 1 tonne CO2e/tonne CO2 under LCHS</t>
  </si>
  <si>
    <t>e.g. Fossil CO2 captured and sequestered (cannot be larger than fossil CO2 generated)</t>
  </si>
  <si>
    <t>Fossil CO2 sequestered is given a credit of 1 tonne CO2e/tonne CO2 under LCHS, provided that the CO2 generated before captured is counted as an emission (row above)</t>
  </si>
  <si>
    <t>Fugitive non-CO2 emissions</t>
  </si>
  <si>
    <t>Step total</t>
  </si>
  <si>
    <t>Step main feedstock</t>
  </si>
  <si>
    <t>e.g. Electricity for compression</t>
  </si>
  <si>
    <t>e.g. Fossil CO2 generated from use of inputs &amp; feedstock</t>
  </si>
  <si>
    <t>Fossil CO2 generated and emitted (no CO2 capture) is given a penalty of 1 tonne CO2e/tonne CO2 under LCHS</t>
  </si>
  <si>
    <t>Distance</t>
  </si>
  <si>
    <t>One-way</t>
  </si>
  <si>
    <t>Hydrogen</t>
  </si>
  <si>
    <t>e.g. Exported electricity</t>
  </si>
  <si>
    <t>Energy supply (electricity, steam, heat, upstream fuel supply emissions). Include any energy used in onsite (non-theoretical) Compression &amp; Purification</t>
  </si>
  <si>
    <t>e.g. Electricity for compression of natural gas</t>
  </si>
  <si>
    <t>e.g. Electricity for reforming</t>
  </si>
  <si>
    <t>e.g. Electricity for compression of hydrogen</t>
  </si>
  <si>
    <r>
      <t>Input materials (upstream emissions in manufacture and supply of materials to the process plant, but not emissions from their onsite use - which are dealt with in Process CO</t>
    </r>
    <r>
      <rPr>
        <b/>
        <vertAlign val="subscript"/>
        <sz val="11"/>
        <color rgb="FF000098"/>
        <rFont val="Calibri"/>
        <family val="2"/>
      </rPr>
      <t>2</t>
    </r>
    <r>
      <rPr>
        <b/>
        <sz val="11"/>
        <color rgb="FF000098"/>
        <rFont val="Calibri"/>
        <family val="2"/>
      </rPr>
      <t xml:space="preserve"> generation and Fugitive non-CO</t>
    </r>
    <r>
      <rPr>
        <b/>
        <vertAlign val="subscript"/>
        <sz val="11"/>
        <color rgb="FF000098"/>
        <rFont val="Calibri"/>
        <family val="2"/>
      </rPr>
      <t>2</t>
    </r>
    <r>
      <rPr>
        <b/>
        <sz val="11"/>
        <color rgb="FF000098"/>
        <rFont val="Calibri"/>
        <family val="2"/>
      </rPr>
      <t xml:space="preserve"> emissions sections). Include any materials used in onsite (non-theoretical) Compression &amp; Purification</t>
    </r>
  </si>
  <si>
    <t>e.g. Mains water</t>
  </si>
  <si>
    <t>Enter data here</t>
  </si>
  <si>
    <t>Use column to left</t>
  </si>
  <si>
    <r>
      <t>Process emissions generated in hydrogen production, prior to any CO</t>
    </r>
    <r>
      <rPr>
        <b/>
        <vertAlign val="subscript"/>
        <sz val="11"/>
        <color rgb="FF000098"/>
        <rFont val="Calibri"/>
        <family val="2"/>
      </rPr>
      <t>2</t>
    </r>
    <r>
      <rPr>
        <b/>
        <sz val="11"/>
        <color rgb="FF000098"/>
        <rFont val="Calibri"/>
        <family val="2"/>
      </rPr>
      <t xml:space="preserve"> capture</t>
    </r>
  </si>
  <si>
    <t>e.g. Fossil CO2 emissions generated from combustion/conversion/use of natural gas, input materials and energy onsite</t>
  </si>
  <si>
    <t>e.g. Captured and sequestered fossil CO2</t>
  </si>
  <si>
    <t>Fossil CO2 sequestered is given a credit of 1 tonne CO2e/tonne CO2 under LCHS, provided that the CO2 generated before capture is counted as an emission in the Process Emissions category</t>
  </si>
  <si>
    <t>Full-load equivalent hours</t>
  </si>
  <si>
    <t>CCS capture rate</t>
  </si>
  <si>
    <t>Accounting for only the upstream supply chain to the plant within the GHG intensity. Record any CO2 released on use in the process emissions table below</t>
  </si>
  <si>
    <r>
      <t>Input materials (upstream materials supply emissions, but not emissions from their use in the process - which are dealt with in Process CO</t>
    </r>
    <r>
      <rPr>
        <b/>
        <vertAlign val="subscript"/>
        <sz val="11"/>
        <color rgb="FF000098"/>
        <rFont val="Calibri"/>
        <family val="2"/>
      </rPr>
      <t>2</t>
    </r>
    <r>
      <rPr>
        <b/>
        <sz val="11"/>
        <color rgb="FF000098"/>
        <rFont val="Calibri"/>
        <family val="2"/>
      </rPr>
      <t xml:space="preserve"> generation and Fugitive non-CO</t>
    </r>
    <r>
      <rPr>
        <b/>
        <vertAlign val="subscript"/>
        <sz val="11"/>
        <color rgb="FF000098"/>
        <rFont val="Calibri"/>
        <family val="2"/>
      </rPr>
      <t>2</t>
    </r>
    <r>
      <rPr>
        <b/>
        <sz val="11"/>
        <color rgb="FF000098"/>
        <rFont val="Calibri"/>
        <family val="2"/>
      </rPr>
      <t xml:space="preserve"> emissions sections). Include any materials used in onsite (non-theoretical) Compression &amp; Purification</t>
    </r>
  </si>
  <si>
    <t>CO2 capture and network entry (includes CO2 transport to network)</t>
  </si>
  <si>
    <t>Solid carbon distribution (includes any solid carbon collection, transport, storage, purification and/or densification before sequestration)</t>
  </si>
  <si>
    <t>e.g. Electricity for solid carbon collection</t>
  </si>
  <si>
    <t>e.g. Electricity for solid carbon transport</t>
  </si>
  <si>
    <t>e.g. Diesel for solid carbon transport</t>
  </si>
  <si>
    <t>e.g. Gasoline for solid carbon transport</t>
  </si>
  <si>
    <t>e.g. Electricity for storage of solid carbon before sequesteration</t>
  </si>
  <si>
    <t>e.g. Electricity for solid carbon purification</t>
  </si>
  <si>
    <t>e.g. Electricity for solid carbon densification</t>
  </si>
  <si>
    <t>Solid carbon sequestered</t>
  </si>
  <si>
    <t>e.g. Fossil solid carbon used for cement/concrete (tonnes of pure carbon)</t>
  </si>
  <si>
    <t>Fossil solid carbon sequestered is given a nil emissions credit under LCHS. Only permissable sequestration is given a credit.</t>
  </si>
  <si>
    <t>e.g. Fossil carbon sent to inert underground storage (tonnes of pure carbon)</t>
  </si>
  <si>
    <t>Solid carbon conversion rate</t>
  </si>
  <si>
    <t>ROG fossil feedstock counterfactual emissions</t>
  </si>
  <si>
    <r>
      <t>This worksheet calculates the ROG fossil feedstock counterfactual emissions in 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of feedstock (prior to allocation), which will feed into the relevant "Summary" tab</t>
    </r>
  </si>
  <si>
    <t>Energy vector displaced by ROG fossil feedstock diversion from counterfactual use</t>
  </si>
  <si>
    <t>Natural gas is the assumed displaced utility (used unabated for heat/steam generation)</t>
  </si>
  <si>
    <r>
      <t>Eff</t>
    </r>
    <r>
      <rPr>
        <vertAlign val="subscript"/>
        <sz val="11"/>
        <color rgb="FF000000"/>
        <rFont val="Calibri"/>
        <family val="2"/>
      </rPr>
      <t>counterfactual</t>
    </r>
    <r>
      <rPr>
        <sz val="11"/>
        <color rgb="FF000000"/>
        <rFont val="Calibri"/>
        <family val="2"/>
      </rPr>
      <t xml:space="preserve"> = Counterfactual conversion efficiency (MJ</t>
    </r>
    <r>
      <rPr>
        <vertAlign val="subscript"/>
        <sz val="11"/>
        <color rgb="FF000000"/>
        <rFont val="Calibri"/>
        <family val="2"/>
      </rPr>
      <t>LHV</t>
    </r>
    <r>
      <rPr>
        <sz val="11"/>
        <color rgb="FF000000"/>
        <rFont val="Calibri"/>
        <family val="2"/>
      </rPr>
      <t xml:space="preserve"> nat gas/MJ</t>
    </r>
    <r>
      <rPr>
        <vertAlign val="subscript"/>
        <sz val="11"/>
        <color rgb="FF000000"/>
        <rFont val="Calibri"/>
        <family val="2"/>
      </rPr>
      <t>LHV</t>
    </r>
    <r>
      <rPr>
        <sz val="11"/>
        <color rgb="FF000000"/>
        <rFont val="Calibri"/>
        <family val="2"/>
      </rPr>
      <t xml:space="preserve"> ROG)</t>
    </r>
  </si>
  <si>
    <t>Assumed that natural gas is replacing ROG in your process without any change in boiler/furnace efficiency. Please do not change this assumption</t>
  </si>
  <si>
    <r>
      <t>CI</t>
    </r>
    <r>
      <rPr>
        <vertAlign val="subscript"/>
        <sz val="11"/>
        <color rgb="FF000000"/>
        <rFont val="Calibri"/>
        <family val="2"/>
      </rPr>
      <t>energy</t>
    </r>
    <r>
      <rPr>
        <sz val="11"/>
        <color rgb="FF000000"/>
        <rFont val="Calibri"/>
        <family val="2"/>
      </rPr>
      <t xml:space="preserve"> = Emission factor of displaced energy in counterfactual (gCO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nat gas)</t>
    </r>
  </si>
  <si>
    <t>Natural gas upstream and combustion emissions factor combined, assuming the refinery is connected to the UK gas transmission network</t>
  </si>
  <si>
    <r>
      <t>E</t>
    </r>
    <r>
      <rPr>
        <vertAlign val="subscript"/>
        <sz val="11"/>
        <color rgb="FF000000"/>
        <rFont val="Calibri"/>
        <family val="2"/>
      </rPr>
      <t>fossil counterfactual CO2 emitted</t>
    </r>
    <r>
      <rPr>
        <sz val="11"/>
        <color rgb="FF000000"/>
        <rFont val="Calibri"/>
        <family val="2"/>
      </rPr>
      <t xml:space="preserve"> per MJ fossil feedstock in the counterfactual (gCO</t>
    </r>
    <r>
      <rPr>
        <vertAlign val="subscript"/>
        <sz val="11"/>
        <color rgb="FF000000"/>
        <rFont val="Calibri"/>
        <family val="2"/>
      </rPr>
      <t>2</t>
    </r>
    <r>
      <rPr>
        <sz val="11"/>
        <color rgb="FF000000"/>
        <rFont val="Calibri"/>
        <family val="2"/>
      </rPr>
      <t>/MJ</t>
    </r>
    <r>
      <rPr>
        <vertAlign val="subscript"/>
        <sz val="11"/>
        <color rgb="FF000000"/>
        <rFont val="Calibri"/>
        <family val="2"/>
      </rPr>
      <t>LHV</t>
    </r>
    <r>
      <rPr>
        <sz val="11"/>
        <color rgb="FF000000"/>
        <rFont val="Calibri"/>
        <family val="2"/>
      </rPr>
      <t xml:space="preserve"> ROG)</t>
    </r>
  </si>
  <si>
    <t>Each ROG fossil feedstock will be slightly different in terms of carbon content and LHV, so use data for your feedstock supply. However, it can be assumed for simplicity that 100% of the ROG fossil carbon in the feedstock will be converted into CO2, prior to any CO2 capture in the counterfactual (no capture in the ROG counterfactual at present)</t>
  </si>
  <si>
    <t>Following the latest Low Carbon Hydrogen Standard, DESNZ are including emissions arising from replacing the lost utility when ROG fossil feedstock is diverted from its existing counterfactual use (providing steam or heating) within the total hydrogen emissions calculation, but are also including a credit for any feedstock fossil carbon emitted as CO2 in the counterfactual that is now avoided.</t>
  </si>
  <si>
    <t>Note that the GHG methodology set out does not indicate a confirmed UK Government policy position in relation to other policies that support hydrogen use, such as the Renewable Transport Fuel Obligation.</t>
  </si>
  <si>
    <t>For ROG, the counterfactual use is set out in the Data Annex section 3, currently natural gas (used unabated in heat/steam generation).</t>
  </si>
  <si>
    <t>e.g. Crude oil</t>
  </si>
  <si>
    <t>e.g. Raw ROG</t>
  </si>
  <si>
    <t>e.g. Co-product 5</t>
  </si>
  <si>
    <t>e.g. Co-product 6</t>
  </si>
  <si>
    <t>e.g. Co-product 7</t>
  </si>
  <si>
    <t>e.g. Co-product 8</t>
  </si>
  <si>
    <t>e.g. Co-product 9</t>
  </si>
  <si>
    <t>e.g. Co-product 10</t>
  </si>
  <si>
    <t>e.g. Processed ROG</t>
  </si>
  <si>
    <t>e.g. ROG</t>
  </si>
  <si>
    <t>e.g. Nitrogen fertilizer</t>
  </si>
  <si>
    <t>Materials</t>
  </si>
  <si>
    <t>e.g. Seeds</t>
  </si>
  <si>
    <t>e.g. Maize</t>
  </si>
  <si>
    <t>CO2 emitted</t>
  </si>
  <si>
    <t>e.g. CO2 emissions from soil neutralisation</t>
  </si>
  <si>
    <t>e.g. Fossil CO2 generated from use of inputs</t>
  </si>
  <si>
    <t>e.g. Emissions to air (methane emissions from diesel)</t>
  </si>
  <si>
    <t>Direct land use change</t>
  </si>
  <si>
    <t>dLUC (in tCO2e/yr)</t>
  </si>
  <si>
    <t>e.g. change in soil carbon stocks</t>
  </si>
  <si>
    <t>Crop yield</t>
  </si>
  <si>
    <t>tonnes/hectare/yr</t>
  </si>
  <si>
    <t>dLUC</t>
  </si>
  <si>
    <t>Direct Land Use Change emissions</t>
  </si>
  <si>
    <t>tCO2e/hectare/yr</t>
  </si>
  <si>
    <t>e.g. Food waste, manure, sewage sludge, maize</t>
  </si>
  <si>
    <t>e.g. Heat for biogas production</t>
  </si>
  <si>
    <t>e.g. Electricity for biogas production</t>
  </si>
  <si>
    <t>e.g. Electricity for biogas upgrading</t>
  </si>
  <si>
    <t>e.g. Electricity for AD CO2 transport &amp; injection</t>
  </si>
  <si>
    <t>e.g. Biomethane</t>
  </si>
  <si>
    <t>e.g. Digestate</t>
  </si>
  <si>
    <t>e.g. Biogenic CO2 generated from use of feedstock or products onsite (e.g. some maize, biogas or biomethane burnt onsite for heating)</t>
  </si>
  <si>
    <t>Biogenic CO2 has nil GWP under LCHS</t>
  </si>
  <si>
    <t>e.g. Fossil CO2 generated from use of inputs (e.g. some diesel burnt onsite)</t>
  </si>
  <si>
    <t>e.g. Biogenic CO2 captured and sequestered (cannot be larger than biogenic CO2 generated)</t>
  </si>
  <si>
    <t>Biogenic CO2 sequestered is given a credit of 1 tonne CO2e/tonne CO2 under LCHS</t>
  </si>
  <si>
    <t>Fossil CO2 sequestered is given a credit of 1 tonne CO2e/tonne CO2 under LCHS, provided that the CO2 generated before capture is counted as an emission</t>
  </si>
  <si>
    <t>CO2 content</t>
  </si>
  <si>
    <t>e.g. Biogas CO2 content</t>
  </si>
  <si>
    <t>% by vol</t>
  </si>
  <si>
    <t>e.g. Electricity for compression of biomethane</t>
  </si>
  <si>
    <t>e.g. Electricity for ATR/SMR</t>
  </si>
  <si>
    <t>e.g. Biogenic CO2 emissions generated from combustion/conversion/use of biomethane onsite</t>
  </si>
  <si>
    <t>e.g. Fossil CO2 emissions generated from combustion/conversion/use of natural gas, diesel, other fossil energy and input materials onsite</t>
  </si>
  <si>
    <t>e.g. Captured and sequestered biogenic CO2</t>
  </si>
  <si>
    <t xml:space="preserve">e.g. Water </t>
  </si>
  <si>
    <t>e.g. Perennial energy crops</t>
  </si>
  <si>
    <t>e.g. Perennial energy crop chips</t>
  </si>
  <si>
    <t>e.g. Forestry residues</t>
  </si>
  <si>
    <t>e.g. Forestry residue chips</t>
  </si>
  <si>
    <t>e.g. Electricity for pre-processing</t>
  </si>
  <si>
    <t>e.g. Water</t>
  </si>
  <si>
    <t>e.g. Forestry residue pellets</t>
  </si>
  <si>
    <t>e.g. Biogenic CO2 generated from use of feedstock or products onsite (e.g. some chip or pellets burnt onsite for heating)</t>
  </si>
  <si>
    <t>e.g. Fossil CO2 generated from use of inputs onsite (e.g. combustion of diesel)</t>
  </si>
  <si>
    <t>e.g. Electricity for gasifier</t>
  </si>
  <si>
    <t>e.g. Chemicals for gasification</t>
  </si>
  <si>
    <t/>
  </si>
  <si>
    <t>e.g. Biogenic CO2 emissions generated from combustion/conversion/use of biomass and other biogenic inputs onsite</t>
  </si>
  <si>
    <t>Waste fossil feedstock counterfactual emissions</t>
  </si>
  <si>
    <r>
      <t>This worksheet calculates the waste fossil feedstock counterfactual emissions in 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of feedstock (prior to allocation), which will feed into the relevant "Summary" tab</t>
    </r>
  </si>
  <si>
    <t>Energy vector displaced by waste fossil feedstock diversion from counterfactual use</t>
  </si>
  <si>
    <t>UK grid electricity is the assumed displaced utility for the fossil fraction of Refuse Derived Fuel. Change this input if using a different feedstock/counterfactual</t>
  </si>
  <si>
    <r>
      <t>Eff</t>
    </r>
    <r>
      <rPr>
        <vertAlign val="subscript"/>
        <sz val="11"/>
        <color rgb="FF000000"/>
        <rFont val="Calibri"/>
        <family val="2"/>
      </rPr>
      <t>counterfactual</t>
    </r>
    <r>
      <rPr>
        <sz val="11"/>
        <color rgb="FF000000"/>
        <rFont val="Calibri"/>
        <family val="2"/>
      </rPr>
      <t xml:space="preserve"> = Counterfactual conversion efficiency (MJ</t>
    </r>
    <r>
      <rPr>
        <vertAlign val="subscript"/>
        <sz val="11"/>
        <color rgb="FF000000"/>
        <rFont val="Calibri"/>
        <family val="2"/>
      </rPr>
      <t>LHV</t>
    </r>
    <r>
      <rPr>
        <sz val="11"/>
        <color rgb="FF000000"/>
        <rFont val="Calibri"/>
        <family val="2"/>
      </rPr>
      <t xml:space="preserve"> energy/MJ</t>
    </r>
    <r>
      <rPr>
        <vertAlign val="subscript"/>
        <sz val="11"/>
        <color rgb="FF000000"/>
        <rFont val="Calibri"/>
        <family val="2"/>
      </rPr>
      <t>LHV</t>
    </r>
    <r>
      <rPr>
        <sz val="11"/>
        <color rgb="FF000000"/>
        <rFont val="Calibri"/>
        <family val="2"/>
      </rPr>
      <t xml:space="preserve"> fossil feedstock)</t>
    </r>
  </si>
  <si>
    <t>22% is assuming UK Energy-from-Waste power generation is the appropriate counterfactual for your feedstock. Change this value if using a different counterfactual</t>
  </si>
  <si>
    <r>
      <t>CI</t>
    </r>
    <r>
      <rPr>
        <vertAlign val="subscript"/>
        <sz val="11"/>
        <color rgb="FF000000"/>
        <rFont val="Calibri"/>
        <family val="2"/>
      </rPr>
      <t>energy</t>
    </r>
    <r>
      <rPr>
        <sz val="11"/>
        <color rgb="FF000000"/>
        <rFont val="Calibri"/>
        <family val="2"/>
      </rPr>
      <t xml:space="preserve"> = Emission factor of displaced energy in counterfactual (gCO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energy)</t>
    </r>
  </si>
  <si>
    <r>
      <t>E</t>
    </r>
    <r>
      <rPr>
        <vertAlign val="subscript"/>
        <sz val="11"/>
        <color rgb="FF000000"/>
        <rFont val="Calibri"/>
        <family val="2"/>
      </rPr>
      <t>fossil counterfactual CO2 emitted</t>
    </r>
    <r>
      <rPr>
        <sz val="11"/>
        <color rgb="FF000000"/>
        <rFont val="Calibri"/>
        <family val="2"/>
      </rPr>
      <t xml:space="preserve"> per MJ fossil feedstock in the counterfactual (gCO</t>
    </r>
    <r>
      <rPr>
        <vertAlign val="subscript"/>
        <sz val="11"/>
        <color rgb="FF000000"/>
        <rFont val="Calibri"/>
        <family val="2"/>
      </rPr>
      <t>2</t>
    </r>
    <r>
      <rPr>
        <sz val="11"/>
        <color rgb="FF000000"/>
        <rFont val="Calibri"/>
        <family val="2"/>
      </rPr>
      <t>/MJ</t>
    </r>
    <r>
      <rPr>
        <vertAlign val="subscript"/>
        <sz val="11"/>
        <color rgb="FF000000"/>
        <rFont val="Calibri"/>
        <family val="2"/>
      </rPr>
      <t>LHV</t>
    </r>
    <r>
      <rPr>
        <sz val="11"/>
        <color rgb="FF000000"/>
        <rFont val="Calibri"/>
        <family val="2"/>
      </rPr>
      <t xml:space="preserve"> fossil feedstock)</t>
    </r>
  </si>
  <si>
    <t>Each waste fossil feedstock will be slightly different in terms of carbon content and LHV, so use data for your feedstock supply. However, it can be assumed for simplicity that 100% of the waste fossil carbon in the feedstock will be converted into CO2, prior to any CO2 capture in the counterfactual (no capture in the RDF counterfactual at present)</t>
  </si>
  <si>
    <t>This worksheet should only be filled in when considering the waste fossil derived fraction of your hydrogen production within this Excel workbook.</t>
  </si>
  <si>
    <t>Following the latest Low Carbon Hydrogen Standard, DESNZ are including emissions arising from replacing the lost utility when waste fossil feedstock is diverted from its existing counterfactual use within the total hydrogen emissions calculation, but are also including a credit for any feedstock fossil carbon emitted as CO2 in the counterfactual that is now avoided.</t>
  </si>
  <si>
    <t>For the fossil fraction of RDF (Refused Derived Fuel), the counterfactual use is set out in the Data Annex section 4, currently Energy-from-Waste combustion with electricity generation (no heat sales, and no CO2 capture), at 22% net electrical efficiency.</t>
  </si>
  <si>
    <t xml:space="preserve">If UK grid power is displaced, use the factor in the Typical data tab for the relevant year of operations. If overseas power is displaced, use the latest available government published projections for the relevant country and year. </t>
  </si>
  <si>
    <t>Suppliers of hydrogen produced from non-RDF waste fossil feedstocks must demonstrate that heat generation is not displaced by the production of hydrogen. If heat is displaced, then the counterfactual use will need to be set as heat generation, and the calculations above will need adjusted</t>
  </si>
  <si>
    <t>For non-RDF feedstocks, an alternative counterfactual to the RDF counterfactual could be considered at the production plant level if sufficient evidence is provided below.</t>
  </si>
  <si>
    <t>Evidence that non-RDF feedstocks are not displacing heat generation. Or if heat is being displaced, state the efficiency of its generation and how much heat is being displaced, and its emissions factor (in what year), and feed this into the above calculations</t>
  </si>
  <si>
    <t>Evidence for any alternative counterfactual for non-RDF feedstocks - state clearly how the feedstock is used, what output product is being displaced, the efficiency of its generation and how much product is displaced, and its emissions factor (in what year), and feed this into the above calculations</t>
  </si>
  <si>
    <t>e.g. Residual waste</t>
  </si>
  <si>
    <t>e.g. Processed waste</t>
  </si>
  <si>
    <t>e.g. Biogenic CO2 generated from use of biogenic inputs onsite (not feedstock or products)</t>
  </si>
  <si>
    <t>e.g. Fossil CO2 generated from use of fossil inputs onsite (not feedstock or products)</t>
  </si>
  <si>
    <t>e.g. Biogenic CO2 captured and sequestered from biogenic inputs only (not from feedstock or products)</t>
  </si>
  <si>
    <t>e.g. Fossil CO2 captured and sequestered from fossil inputs only (not from feedstock or products)</t>
  </si>
  <si>
    <t>Process emissions and sequestration (biogenic fraction of feedstock only)</t>
  </si>
  <si>
    <t>gCO2e/MJ biogenic H2</t>
  </si>
  <si>
    <t>e.g. Biogenic CO2 generated from use of feedstock or products onsite (e.g. some MSW or RDF composted, or burnt to provide heat)</t>
  </si>
  <si>
    <t>e.g. Biogenic CO2 captured and sequestered (from feedstock or products)</t>
  </si>
  <si>
    <t>Process emissions and sequestration (fossil fraction of feedstock only)</t>
  </si>
  <si>
    <t>gCO2e/MJ fossil H2</t>
  </si>
  <si>
    <t>e.g. Fossil CO2 generated from use of feedstock or products onsite  (e.g. some MSW or RDF burnt to provide heat)</t>
  </si>
  <si>
    <t>Fossil CO2 generated and emitted (no CO2 capture) is given a penalty of 1 tonne CO2e/tonne CO2 under LCHS. Any release of fossil carbon to atmosphere that would have occurred anyway in a counterfactual is considered separately in the counterfactual emissions tab</t>
  </si>
  <si>
    <t>e.g. Fossil CO2 captured and sequestered (from feedstock or products)</t>
  </si>
  <si>
    <t>Fossil CO2 sequestered is given a credit of 1 tonne CO2e/tonne CO2 under LCHS, since it is assumed that the fossil carbon in the counterfactual would have been released to atmosphere.</t>
  </si>
  <si>
    <t>Step total (gCO2e/MJ biogenic H2)</t>
  </si>
  <si>
    <t>Step total (gCO2e/MJ fossil H2)</t>
  </si>
  <si>
    <t>Feedstock composition</t>
  </si>
  <si>
    <t>Biogenic content (LHV basis)</t>
  </si>
  <si>
    <t>Fossil content (LHV basis)</t>
  </si>
  <si>
    <t xml:space="preserve">Fossil CO2 generated and emitted (no CO2 capture) is given a penalty of 1 tonne CO2e/tonne CO2 under LCHS </t>
  </si>
  <si>
    <t>Hydrogen (biogenic+fossil consignments)</t>
  </si>
  <si>
    <t>Upstream GHGs</t>
  </si>
  <si>
    <r>
      <t>Process emissions (from feedstock biogenic fraction) generated in hydrogen production, prior to any CO</t>
    </r>
    <r>
      <rPr>
        <b/>
        <vertAlign val="subscript"/>
        <sz val="11"/>
        <color rgb="FF000098"/>
        <rFont val="Calibri"/>
        <family val="2"/>
      </rPr>
      <t>2</t>
    </r>
    <r>
      <rPr>
        <b/>
        <sz val="11"/>
        <color rgb="FF000098"/>
        <rFont val="Calibri"/>
        <family val="2"/>
      </rPr>
      <t xml:space="preserve"> capture</t>
    </r>
  </si>
  <si>
    <t>Generated CO2</t>
  </si>
  <si>
    <t>e.g. Biogenic CO2 generated from use of feedstock or products onsite (e.g. some RDF, syngas or hydrogen burnt onsite for heating)</t>
  </si>
  <si>
    <r>
      <t>Process emissions (from feedstock fossil fraction) generated in hydrogen production, prior to any CO</t>
    </r>
    <r>
      <rPr>
        <b/>
        <vertAlign val="subscript"/>
        <sz val="11"/>
        <color rgb="FF000098"/>
        <rFont val="Calibri"/>
        <family val="2"/>
      </rPr>
      <t>2</t>
    </r>
    <r>
      <rPr>
        <b/>
        <sz val="11"/>
        <color rgb="FF000098"/>
        <rFont val="Calibri"/>
        <family val="2"/>
      </rPr>
      <t xml:space="preserve"> capture</t>
    </r>
  </si>
  <si>
    <t>e.g. Fossil CO2 generated from use of feedstock or products onsite (e.g. some RDF, syngas or hydrogen burnt onsite for heating)</t>
  </si>
  <si>
    <r>
      <t>Process emissions (from other inputs) generated in hydrogen production, prior to any CO</t>
    </r>
    <r>
      <rPr>
        <b/>
        <vertAlign val="subscript"/>
        <sz val="11"/>
        <color rgb="FF000098"/>
        <rFont val="Calibri"/>
        <family val="2"/>
      </rPr>
      <t>2</t>
    </r>
    <r>
      <rPr>
        <b/>
        <sz val="11"/>
        <color rgb="FF000098"/>
        <rFont val="Calibri"/>
        <family val="2"/>
      </rPr>
      <t xml:space="preserve"> capture</t>
    </r>
  </si>
  <si>
    <t>e.g. Biogenic CO2 emissions generated from combustion/conversion/use of biomethane, biodiesel, other biogenic energy and input materials onsite</t>
  </si>
  <si>
    <t>Supply+use GHGs</t>
  </si>
  <si>
    <t>e.g. Diesel for CO2 transport (accounting for both supply and combustion of any fuel)</t>
  </si>
  <si>
    <t>e.g. Gasoline for CO2 transport (accounting for both supply and combustion of any fuel)</t>
  </si>
  <si>
    <r>
      <t>CO</t>
    </r>
    <r>
      <rPr>
        <b/>
        <vertAlign val="subscript"/>
        <sz val="11"/>
        <color rgb="FF000098"/>
        <rFont val="Calibri"/>
        <family val="2"/>
      </rPr>
      <t>2</t>
    </r>
    <r>
      <rPr>
        <b/>
        <sz val="11"/>
        <color rgb="FF000098"/>
        <rFont val="Calibri"/>
        <family val="2"/>
      </rPr>
      <t xml:space="preserve"> sequestration (from feedstock biogenic fraction)</t>
    </r>
  </si>
  <si>
    <t>Sequestered CO2</t>
  </si>
  <si>
    <t>e.g. Biogenic CO2 captured and sequestered (from feedstock)</t>
  </si>
  <si>
    <r>
      <t>CO</t>
    </r>
    <r>
      <rPr>
        <b/>
        <vertAlign val="subscript"/>
        <sz val="11"/>
        <color rgb="FF000098"/>
        <rFont val="Calibri"/>
        <family val="2"/>
      </rPr>
      <t>2</t>
    </r>
    <r>
      <rPr>
        <b/>
        <sz val="11"/>
        <color rgb="FF000098"/>
        <rFont val="Calibri"/>
        <family val="2"/>
      </rPr>
      <t xml:space="preserve"> sequestration (from feedstock fossil fraction)</t>
    </r>
  </si>
  <si>
    <t>e.g. Fossil CO2 captured and sequestered (from feedstock)</t>
  </si>
  <si>
    <r>
      <t>CO</t>
    </r>
    <r>
      <rPr>
        <b/>
        <vertAlign val="subscript"/>
        <sz val="11"/>
        <color rgb="FF000098"/>
        <rFont val="Calibri"/>
        <family val="2"/>
      </rPr>
      <t>2</t>
    </r>
    <r>
      <rPr>
        <b/>
        <sz val="11"/>
        <color rgb="FF000098"/>
        <rFont val="Calibri"/>
        <family val="2"/>
      </rPr>
      <t xml:space="preserve"> sequestration (from other inputs)</t>
    </r>
  </si>
  <si>
    <t>e.g. Biogenic CO2 captured and sequestered (from other inputs)</t>
  </si>
  <si>
    <t>e.g. Fossil CO2 captured and sequestered (from other inputs)</t>
  </si>
  <si>
    <t>Fugitive GHGs</t>
  </si>
  <si>
    <t>Fossil feedstock (waste/residue) counterfactual emissions</t>
  </si>
  <si>
    <r>
      <t>This worksheet calculates the waste/residue fossil feedstock counterfactual emissions in 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of feedstock (prior to allocation), which will feed into the relevant "Summary" tab</t>
    </r>
  </si>
  <si>
    <t>Energy vector displaced by fossil feedstock diversion from counterfactual use</t>
  </si>
  <si>
    <t>Provide the assumed displaced utility for the fossil feedstock e.g. Grid average electricity, natural gas heating</t>
  </si>
  <si>
    <t>Provide the appropriate counterfactual for your feedstock e.g. 22% is assuming UK Energy-from-Waste power generation</t>
  </si>
  <si>
    <t>Each fossil feedstock will be slightly different in terms of carbon content and LHV, so use data for your feedstock supply. However, it can be assumed for simplicity that 100% of the fossil carbon in the feedstock will be converted into CO2, prior to any CO2 capture in the counterfactual (no capture in the feedstock counterfactual at present)</t>
  </si>
  <si>
    <t>Following the latest Low Carbon Hydrogen Standard, DESNZ are including emissions arising from replacing the lost utility when waste or residue fossil feedstock is diverted from its existing counterfactual use (e.g. providing power, steam or heating) within the total hydrogen emissions calculation, but are also including a credit for any feedstock fossil carbon emitted as CO2 in the counterfactual that is now avoided.</t>
  </si>
  <si>
    <t>Suppliers of hydrogen produced from non-RDF waste/residue fossil feedstocks must demonstrate that heat generation is not displaced by the production of hydrogen. If heat is displaced, then the counterfactual use will need to be set as heat generation, and the calculations above will need adjusted</t>
  </si>
  <si>
    <t>e.g. Feedstock</t>
  </si>
  <si>
    <t>e.g. Processed feedstock</t>
  </si>
  <si>
    <t>e.g. Biogenic CO2 generated from use of biomass feedstock or biogenic products onsite</t>
  </si>
  <si>
    <t>e.g. Fossil CO2 generated from use of fossil inputs onsite</t>
  </si>
  <si>
    <t>e.g. Electricity for conversion process</t>
  </si>
  <si>
    <t>e.g. Chemicals for conversion process</t>
  </si>
  <si>
    <t>Process emissions generated in hydrogen production</t>
  </si>
  <si>
    <t>e.g. Biogenic CO2 generated from use of feedstock or products onsite (e.g. some burnt onsite for heating)</t>
  </si>
  <si>
    <t>e.g. Fossil CO2 generated from use of feedstock or products onsite (e.g. some burnt onsite for heating)</t>
  </si>
  <si>
    <r>
      <t>CO</t>
    </r>
    <r>
      <rPr>
        <b/>
        <vertAlign val="subscript"/>
        <sz val="11"/>
        <color rgb="FF000098"/>
        <rFont val="Calibri"/>
        <family val="2"/>
      </rPr>
      <t xml:space="preserve">2 </t>
    </r>
    <r>
      <rPr>
        <b/>
        <sz val="11"/>
        <color rgb="FF000098"/>
        <rFont val="Calibri"/>
        <family val="2"/>
      </rPr>
      <t>sequestration</t>
    </r>
  </si>
  <si>
    <t>e.g. Biogenic CO2 captured and sequestered</t>
  </si>
  <si>
    <t>e.g. Fossil solid carbon sent to inert underground storage (tonnes of pure carbon)</t>
  </si>
  <si>
    <t>e.g. Biogenic solid carbon sent to cement/concrete (tonnes of pure carbon)</t>
  </si>
  <si>
    <t>Biogenic solid carbon sequestered is given a credit of 3.664 gCO2e/g C under LCHS. Only permissable sequestration is given a credit.</t>
  </si>
  <si>
    <t>e.g. Biogenic solid carbon sent to inert underground storage (tonnes of pure carbon)</t>
  </si>
  <si>
    <t>DESNZ LCHS Data Annex https://assets.publishing.service.gov.uk/media/6579cc770467eb001355f75b/uk-low-carbon-hydrogen-standard-data-annex-v3-december-2023.pdf</t>
  </si>
  <si>
    <t>v4.8 Full</t>
  </si>
  <si>
    <t>Food waste biomethane SMR+CCS not analysed in 2021 study / LCA tool. Projected data must be used for the Feedstock Supply category</t>
  </si>
  <si>
    <t>Feedstock Supply</t>
  </si>
  <si>
    <t>All data</t>
  </si>
  <si>
    <t>Energy Supply</t>
  </si>
  <si>
    <t>Input Materials</t>
  </si>
  <si>
    <t>UK Government (2023) conversion factors for company reporting of greenhouse gas emissions, 100% Mineral Diesel https://www.gov.uk/government/publications/greenhouse-gas-reporting-conversion-factors-2023</t>
  </si>
  <si>
    <t>UK Government (2023) conversion factors for company reporting of greenhouse gas emissions, 100% Mineral Petrol https://www.gov.uk/government/publications/greenhouse-gas-reporting-conversion-factors-2023</t>
  </si>
  <si>
    <t>UK Government (2023) conversion factors for company reporting of greenhouse gas emissions https://www.gov.uk/government/publications/greenhouse-gas-reporting-conversion-factors-2023</t>
  </si>
  <si>
    <t>UK Government (2023) conversion factors for company reporting of greenhouse gas emissions, 100% Mineral Blend https://www.gov.uk/government/publications/greenhouse-gas-reporting-conversion-factors-2023</t>
  </si>
  <si>
    <t>UK Government (2023) conversion factors for company reporting of greenhouse gas emissions, using biomethanol Outside of Scopes https://www.gov.uk/government/publications/greenhouse-gas-reporting-conversion-factors-2023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</si>
</sst>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43" formatCode="_-* #,##0.00_-;\-* #,##0.00_-;_-* &quot;-&quot;??_-;_-@_-"/>
    <numFmt numFmtId="164" formatCode="0.0000"/>
    <numFmt numFmtId="165" formatCode="dd\-mmm\-yyyy"/>
    <numFmt numFmtId="166" formatCode="0.000000"/>
    <numFmt numFmtId="167" formatCode="#,##0.0000"/>
    <numFmt numFmtId="168" formatCode="#,##0.0000000"/>
    <numFmt numFmtId="169" formatCode="0.00000"/>
    <numFmt numFmtId="170" formatCode="0.000"/>
    <numFmt numFmtId="171" formatCode="#,##0.000"/>
    <numFmt numFmtId="172" formatCode="0.0000000"/>
    <numFmt numFmtId="173" formatCode="#,##0.0"/>
    <numFmt numFmtId="174" formatCode="0.0"/>
    <numFmt numFmtId="175" formatCode="#,##0.00000"/>
    <numFmt numFmtId="176" formatCode="_-* #,##0_-;\-* #,##0_-;_-* &quot;-&quot;??_-;_-@_-"/>
    <numFmt numFmtId="177" formatCode="dd\ mmm\ yyyy"/>
    <numFmt numFmtId="178" formatCode="_-* #,##0.000_-;\-* #,##0.000_-;_-* &quot;-&quot;??_-;_-@_-"/>
    <numFmt numFmtId="179" formatCode="0.0%"/>
    <numFmt numFmtId="180" formatCode="0.000%"/>
    <numFmt numFmtId="181" formatCode="_-* #,##0.0000_-;\-* #,##0.0000_-;_-* &quot;-&quot;??_-;_-@_-"/>
    <numFmt numFmtId="182" formatCode="_-* #,##0.00000_-;\-* #,##0.00000_-;_-* &quot;-&quot;??_-;_-@_-"/>
    <numFmt numFmtId="183" formatCode="0.0000%"/>
    <numFmt numFmtId="184" formatCode="_-* #,##0_-;\-* #,##0_-;_-* &quot;&quot;??_-;_-@_-"/>
  </numFmts>
  <fonts count="109">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color theme="0" tint="-0.499984740745262"/>
      <name val="Calibri"/>
      <family val="2"/>
    </font>
    <font>
      <sz val="8"/>
      <color theme="0" tint="-0.499984740745262"/>
      <name val="Calibri"/>
      <family val="2"/>
    </font>
    <font>
      <b/>
      <sz val="11"/>
      <color theme="0"/>
      <name val="Calibri"/>
      <family val="2"/>
    </font>
    <font>
      <sz val="11"/>
      <color rgb="FF000098"/>
      <name val="Calibri"/>
      <family val="2"/>
    </font>
    <font>
      <b/>
      <sz val="11"/>
      <color rgb="FF000098"/>
      <name val="Calibri"/>
      <family val="2"/>
    </font>
    <font>
      <b/>
      <sz val="11"/>
      <color theme="7" tint="-0.499984740745262"/>
      <name val="Calibri"/>
      <family val="2"/>
    </font>
    <font>
      <sz val="11"/>
      <color theme="7" tint="-0.499984740745262"/>
      <name val="Calibri"/>
      <family val="2"/>
    </font>
    <font>
      <sz val="11"/>
      <color rgb="FF000000"/>
      <name val="Calibri"/>
      <family val="2"/>
    </font>
    <font>
      <sz val="10"/>
      <name val="Arial"/>
      <family val="2"/>
    </font>
    <font>
      <b/>
      <sz val="11"/>
      <color rgb="FF000000"/>
      <name val="Calibri"/>
      <family val="2"/>
    </font>
    <font>
      <sz val="11"/>
      <color indexed="8"/>
      <name val="Calibri"/>
      <family val="2"/>
    </font>
    <font>
      <sz val="10"/>
      <name val="Arial Cyr"/>
    </font>
    <font>
      <b/>
      <sz val="14"/>
      <name val="Calibri"/>
      <family val="2"/>
      <scheme val="minor"/>
    </font>
    <font>
      <b/>
      <sz val="10"/>
      <color indexed="8"/>
      <name val="Calibri"/>
      <family val="2"/>
      <scheme val="minor"/>
    </font>
    <font>
      <sz val="10"/>
      <color indexed="8"/>
      <name val="Calibri"/>
      <family val="2"/>
      <scheme val="minor"/>
    </font>
    <font>
      <sz val="11"/>
      <color rgb="FF000000"/>
      <name val="Calibri"/>
      <family val="2"/>
      <scheme val="minor"/>
    </font>
    <font>
      <b/>
      <sz val="11"/>
      <color rgb="FF000098"/>
      <name val="Calibri"/>
      <family val="2"/>
      <scheme val="minor"/>
    </font>
    <font>
      <b/>
      <sz val="11"/>
      <color indexed="8"/>
      <name val="Calibri"/>
      <family val="2"/>
      <scheme val="minor"/>
    </font>
    <font>
      <sz val="11"/>
      <color indexed="8"/>
      <name val="Calibri"/>
      <family val="2"/>
      <scheme val="minor"/>
    </font>
    <font>
      <b/>
      <sz val="12"/>
      <color indexed="8"/>
      <name val="Calibri"/>
      <family val="2"/>
      <scheme val="minor"/>
    </font>
    <font>
      <sz val="12"/>
      <color indexed="8"/>
      <name val="Calibri"/>
      <family val="2"/>
      <scheme val="minor"/>
    </font>
    <font>
      <b/>
      <sz val="11"/>
      <name val="Calibri"/>
      <family val="2"/>
      <scheme val="minor"/>
    </font>
    <font>
      <sz val="11"/>
      <name val="Calibri"/>
      <family val="2"/>
      <scheme val="minor"/>
    </font>
    <font>
      <sz val="10"/>
      <color rgb="FF000098"/>
      <name val="Calibri"/>
      <family val="2"/>
      <scheme val="minor"/>
    </font>
    <font>
      <sz val="10"/>
      <name val="Calibri"/>
      <family val="2"/>
      <scheme val="minor"/>
    </font>
    <font>
      <b/>
      <sz val="9"/>
      <color indexed="81"/>
      <name val="Tahoma"/>
      <family val="2"/>
    </font>
    <font>
      <sz val="9"/>
      <color indexed="81"/>
      <name val="Tahoma"/>
      <family val="2"/>
    </font>
    <font>
      <b/>
      <sz val="11"/>
      <name val="Calibri"/>
      <family val="2"/>
    </font>
    <font>
      <sz val="11"/>
      <color rgb="FFFF0000"/>
      <name val="Calibri"/>
      <family val="2"/>
    </font>
    <font>
      <b/>
      <i/>
      <sz val="11"/>
      <color rgb="FF000000"/>
      <name val="Calibri"/>
      <family val="2"/>
    </font>
    <font>
      <sz val="12"/>
      <color rgb="FF000000"/>
      <name val="Calibri"/>
      <family val="2"/>
    </font>
    <font>
      <u/>
      <sz val="11"/>
      <color rgb="FF000000"/>
      <name val="Calibri"/>
      <family val="2"/>
    </font>
    <font>
      <u/>
      <sz val="11"/>
      <color theme="10"/>
      <name val="Calibri"/>
      <family val="2"/>
    </font>
    <font>
      <b/>
      <sz val="11"/>
      <color indexed="8"/>
      <name val="Calibri"/>
      <family val="2"/>
    </font>
    <font>
      <sz val="11"/>
      <color theme="10"/>
      <name val="Calibri"/>
      <family val="2"/>
    </font>
    <font>
      <b/>
      <sz val="18"/>
      <color theme="3"/>
      <name val="Calibri"/>
      <family val="2"/>
      <scheme val="major"/>
    </font>
    <font>
      <sz val="11"/>
      <color theme="1"/>
      <name val="Arial"/>
      <family val="2"/>
    </font>
    <font>
      <sz val="11"/>
      <color indexed="9"/>
      <name val="Calibri"/>
      <family val="2"/>
    </font>
    <font>
      <sz val="10"/>
      <color rgb="FF000000"/>
      <name val="Arial"/>
      <family val="2"/>
    </font>
    <font>
      <sz val="11"/>
      <color theme="1"/>
      <name val="Times New Roman"/>
      <family val="2"/>
    </font>
    <font>
      <b/>
      <sz val="11"/>
      <color theme="1"/>
      <name val="Calibri"/>
      <family val="2"/>
      <scheme val="minor"/>
    </font>
    <font>
      <sz val="11"/>
      <color theme="0"/>
      <name val="Calibri"/>
      <family val="2"/>
      <scheme val="minor"/>
    </font>
    <font>
      <i/>
      <sz val="11"/>
      <color theme="2" tint="-0.499984740745262"/>
      <name val="Calibri"/>
      <family val="2"/>
    </font>
    <font>
      <b/>
      <vertAlign val="subscript"/>
      <sz val="11"/>
      <color rgb="FF000000"/>
      <name val="Calibri"/>
      <family val="2"/>
    </font>
    <font>
      <sz val="11"/>
      <color theme="0" tint="-0.249977111117893"/>
      <name val="Calibri"/>
      <family val="2"/>
      <scheme val="minor"/>
    </font>
    <font>
      <sz val="24"/>
      <color rgb="FFFF0000"/>
      <name val="Calibri"/>
      <family val="2"/>
    </font>
    <font>
      <b/>
      <sz val="11"/>
      <color rgb="FFFF0000"/>
      <name val="Calibri"/>
      <family val="2"/>
    </font>
    <font>
      <sz val="11"/>
      <color theme="0" tint="-0.34998626667073579"/>
      <name val="Calibri"/>
      <family val="2"/>
    </font>
    <font>
      <b/>
      <vertAlign val="subscript"/>
      <sz val="11"/>
      <name val="Calibri"/>
      <family val="2"/>
    </font>
    <font>
      <i/>
      <sz val="11"/>
      <color rgb="FF000000"/>
      <name val="Calibri"/>
      <family val="2"/>
    </font>
    <font>
      <b/>
      <sz val="22"/>
      <color rgb="FF000000"/>
      <name val="Calibri"/>
      <family val="2"/>
    </font>
    <font>
      <b/>
      <sz val="14"/>
      <name val="Calibri"/>
      <family val="2"/>
    </font>
    <font>
      <sz val="14"/>
      <color rgb="FF000000"/>
      <name val="Calibri"/>
      <family val="2"/>
    </font>
    <font>
      <b/>
      <vertAlign val="superscript"/>
      <sz val="10"/>
      <name val="Calibri"/>
      <family val="2"/>
      <scheme val="minor"/>
    </font>
    <font>
      <b/>
      <sz val="10"/>
      <name val="Calibri"/>
      <family val="2"/>
      <scheme val="minor"/>
    </font>
    <font>
      <b/>
      <i/>
      <sz val="11"/>
      <name val="Calibri"/>
      <family val="2"/>
    </font>
    <font>
      <b/>
      <u/>
      <sz val="14"/>
      <color theme="3"/>
      <name val="Calibri"/>
      <family val="2"/>
    </font>
    <font>
      <sz val="11"/>
      <color theme="1"/>
      <name val="Calibri"/>
      <family val="2"/>
    </font>
    <font>
      <b/>
      <sz val="12"/>
      <color rgb="FF000000"/>
      <name val="Calibri"/>
      <family val="2"/>
    </font>
    <font>
      <b/>
      <sz val="14"/>
      <color theme="10"/>
      <name val="Calibri"/>
      <family val="2"/>
    </font>
    <font>
      <b/>
      <sz val="14"/>
      <color rgb="FF000000"/>
      <name val="Calibri"/>
      <family val="2"/>
    </font>
    <font>
      <sz val="16"/>
      <color rgb="FF000000"/>
      <name val="Calibri"/>
      <family val="2"/>
    </font>
    <font>
      <b/>
      <sz val="10"/>
      <color rgb="FF000000"/>
      <name val="Calibri"/>
      <family val="2"/>
    </font>
    <font>
      <b/>
      <vertAlign val="subscript"/>
      <sz val="10"/>
      <color rgb="FF000000"/>
      <name val="Calibri"/>
      <family val="2"/>
    </font>
    <font>
      <b/>
      <sz val="12"/>
      <color rgb="FFFF0000"/>
      <name val="Calibri"/>
      <family val="2"/>
    </font>
    <font>
      <b/>
      <sz val="14"/>
      <color rgb="FF000000"/>
      <name val="Calibri"/>
      <family val="2"/>
      <scheme val="minor"/>
    </font>
    <font>
      <b/>
      <sz val="18"/>
      <color rgb="FF000000"/>
      <name val="Calibri"/>
      <family val="2"/>
    </font>
    <font>
      <b/>
      <vertAlign val="superscript"/>
      <sz val="11"/>
      <color theme="1"/>
      <name val="Calibri"/>
      <family val="2"/>
      <scheme val="minor"/>
    </font>
    <font>
      <i/>
      <sz val="11"/>
      <color theme="0" tint="-0.34998626667073579"/>
      <name val="Calibri"/>
      <family val="2"/>
    </font>
    <font>
      <b/>
      <sz val="11"/>
      <color theme="0" tint="-0.34998626667073579"/>
      <name val="Calibri"/>
      <family val="2"/>
    </font>
    <font>
      <b/>
      <i/>
      <sz val="11"/>
      <color theme="0" tint="-0.34998626667073579"/>
      <name val="Calibri"/>
      <family val="2"/>
    </font>
    <font>
      <b/>
      <i/>
      <vertAlign val="subscript"/>
      <sz val="11"/>
      <color theme="0" tint="-0.34998626667073579"/>
      <name val="Calibri"/>
      <family val="2"/>
    </font>
    <font>
      <b/>
      <u/>
      <sz val="14"/>
      <color theme="7" tint="-0.499984740745262"/>
      <name val="Calibri"/>
      <family val="2"/>
    </font>
    <font>
      <b/>
      <vertAlign val="subscript"/>
      <sz val="11"/>
      <color rgb="FF000098"/>
      <name val="Calibri"/>
      <family val="2"/>
    </font>
    <font>
      <u/>
      <sz val="11"/>
      <name val="Calibri"/>
      <family val="2"/>
    </font>
    <font>
      <vertAlign val="subscript"/>
      <sz val="11"/>
      <color rgb="FF000000"/>
      <name val="Calibri"/>
      <family val="2"/>
    </font>
    <font>
      <i/>
      <sz val="11"/>
      <name val="Calibri"/>
      <family val="2"/>
    </font>
    <font>
      <vertAlign val="subscript"/>
      <sz val="11"/>
      <name val="Calibri"/>
      <family val="2"/>
    </font>
    <font>
      <u/>
      <sz val="11"/>
      <color theme="7" tint="-0.499984740745262"/>
      <name val="Calibri"/>
      <family val="2"/>
    </font>
    <font>
      <sz val="11"/>
      <color theme="0" tint="-0.249977111117893"/>
      <name val="Calibri"/>
      <family val="2"/>
    </font>
    <font>
      <u/>
      <sz val="11"/>
      <color theme="0"/>
      <name val="Calibri"/>
      <family val="2"/>
    </font>
    <font>
      <sz val="11"/>
      <color rgb="FFFF0000"/>
      <name val="Calibri"/>
      <family val="2"/>
      <scheme val="minor"/>
    </font>
    <font>
      <u/>
      <sz val="11"/>
      <color rgb="FFFF0000"/>
      <name val="Calibri"/>
      <family val="2"/>
    </font>
    <font>
      <sz val="8"/>
      <name val="Calibri"/>
      <family val="2"/>
    </font>
    <font>
      <u/>
      <sz val="16"/>
      <color theme="10"/>
      <name val="Calibri"/>
      <family val="2"/>
    </font>
    <font>
      <i/>
      <sz val="11"/>
      <color rgb="FFFF0000"/>
      <name val="Calibri"/>
      <family val="2"/>
    </font>
    <font>
      <sz val="10"/>
      <color rgb="FFFF0000"/>
      <name val="Calibri"/>
      <family val="2"/>
    </font>
    <font>
      <b/>
      <sz val="24"/>
      <color rgb="FFFF0000"/>
      <name val="Calibri"/>
      <family val="2"/>
    </font>
    <font>
      <vertAlign val="subscript"/>
      <sz val="11"/>
      <color theme="1"/>
      <name val="Calibri"/>
      <family val="2"/>
      <scheme val="minor"/>
    </font>
    <font>
      <vertAlign val="subscript"/>
      <sz val="11"/>
      <color theme="10"/>
      <name val="Calibri"/>
      <family val="2"/>
    </font>
    <font>
      <vertAlign val="superscript"/>
      <sz val="11"/>
      <color rgb="FF000000"/>
      <name val="Calibri"/>
      <family val="2"/>
    </font>
    <font>
      <b/>
      <vertAlign val="subscript"/>
      <sz val="11"/>
      <color rgb="FF000098"/>
      <name val="Calibri"/>
      <family val="2"/>
      <scheme val="minor"/>
    </font>
    <font>
      <vertAlign val="subscript"/>
      <sz val="11"/>
      <color rgb="FF000000"/>
      <name val="Calibri"/>
      <family val="2"/>
      <scheme val="minor"/>
    </font>
    <font>
      <b/>
      <u/>
      <sz val="14"/>
      <color theme="0"/>
      <name val="Calibri"/>
      <family val="2"/>
    </font>
    <font>
      <b/>
      <u/>
      <sz val="14"/>
      <name val="Calibri"/>
      <family val="2"/>
    </font>
    <font>
      <sz val="14"/>
      <color rgb="FFFF0000"/>
      <name val="Calibri"/>
      <family val="2"/>
    </font>
    <font>
      <b/>
      <vertAlign val="subscript"/>
      <sz val="11"/>
      <color theme="1"/>
      <name val="Calibri"/>
      <family val="2"/>
      <scheme val="minor"/>
    </font>
    <font>
      <b/>
      <vertAlign val="subscript"/>
      <sz val="11"/>
      <color rgb="FF000000"/>
      <name val="Calibri"/>
      <family val="2"/>
      <scheme val="minor"/>
    </font>
    <font>
      <b/>
      <sz val="11"/>
      <color rgb="FF000000"/>
      <name val="Calibri"/>
      <family val="2"/>
      <scheme val="minor"/>
    </font>
    <font>
      <vertAlign val="superscript"/>
      <sz val="8"/>
      <color rgb="FF000000"/>
      <name val="Arial"/>
      <family val="2"/>
    </font>
    <font>
      <sz val="16"/>
      <color rgb="FFFF0000"/>
      <name val="Calibri"/>
      <family val="2"/>
    </font>
    <font>
      <b/>
      <sz val="11"/>
      <color theme="0" tint="-0.34998626667073579"/>
      <name val="Calibri"/>
      <family val="2"/>
      <scheme val="minor"/>
    </font>
  </fonts>
  <fills count="33">
    <fill>
      <patternFill patternType="none"/>
    </fill>
    <fill>
      <patternFill patternType="gray125"/>
    </fill>
    <fill>
      <patternFill patternType="solid">
        <fgColor rgb="FF1B429A"/>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6" tint="0.39994506668294322"/>
        <bgColor indexed="64"/>
      </patternFill>
    </fill>
    <fill>
      <patternFill patternType="solid">
        <fgColor theme="9" tint="0.59996337778862885"/>
        <bgColor indexed="64"/>
      </patternFill>
    </fill>
    <fill>
      <patternFill patternType="solid">
        <fgColor theme="0"/>
        <bgColor indexed="64"/>
      </patternFill>
    </fill>
    <fill>
      <patternFill patternType="solid">
        <fgColor theme="7" tint="0.79998168889431442"/>
        <bgColor indexed="64"/>
      </patternFill>
    </fill>
    <fill>
      <patternFill patternType="solid">
        <fgColor rgb="FFFF66CC"/>
        <bgColor indexed="64"/>
      </patternFill>
    </fill>
    <fill>
      <patternFill patternType="solid">
        <fgColor indexed="30"/>
      </patternFill>
    </fill>
    <fill>
      <patternFill patternType="solid">
        <fgColor theme="8" tint="0.39994506668294322"/>
        <bgColor indexed="64"/>
      </patternFill>
    </fill>
    <fill>
      <patternFill patternType="solid">
        <fgColor theme="2" tint="-9.9948118533890809E-2"/>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8"/>
        <bgColor indexed="64"/>
      </patternFill>
    </fill>
    <fill>
      <patternFill patternType="solid">
        <fgColor theme="5"/>
        <bgColor indexed="64"/>
      </patternFill>
    </fill>
    <fill>
      <patternFill patternType="solid">
        <fgColor rgb="FFFF9900"/>
        <bgColor indexed="64"/>
      </patternFill>
    </fill>
    <fill>
      <patternFill patternType="solid">
        <fgColor rgb="FFCCFF66"/>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1"/>
        <bgColor indexed="64"/>
      </patternFill>
    </fill>
    <fill>
      <patternFill patternType="solid">
        <fgColor rgb="FFC7E8FA"/>
        <bgColor indexed="64"/>
      </patternFill>
    </fill>
    <fill>
      <patternFill patternType="solid">
        <fgColor theme="7" tint="-0.249977111117893"/>
        <bgColor indexed="64"/>
      </patternFill>
    </fill>
    <fill>
      <patternFill patternType="solid">
        <fgColor rgb="FFFFDF9F"/>
        <bgColor indexed="64"/>
      </patternFill>
    </fill>
    <fill>
      <patternFill patternType="solid">
        <fgColor theme="3" tint="-0.249977111117893"/>
        <bgColor indexed="64"/>
      </patternFill>
    </fill>
  </fills>
  <borders count="29">
    <border>
      <left/>
      <right/>
      <top/>
      <bottom/>
      <diagonal/>
    </border>
    <border>
      <left/>
      <right/>
      <top/>
      <bottom style="thick">
        <color rgb="FF6AB0E0"/>
      </bottom>
      <diagonal/>
    </border>
    <border>
      <left/>
      <right/>
      <top/>
      <bottom style="medium">
        <color rgb="FF6AB0E0"/>
      </bottom>
      <diagonal/>
    </border>
    <border>
      <left/>
      <right/>
      <top/>
      <bottom style="medium">
        <color theme="7" tint="-0.499984740745262"/>
      </bottom>
      <diagonal/>
    </border>
    <border>
      <left/>
      <right/>
      <top/>
      <bottom style="thin">
        <color theme="7" tint="-0.499984740745262"/>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thin">
        <color theme="1"/>
      </left>
      <right style="thin">
        <color theme="1"/>
      </right>
      <top style="thin">
        <color theme="1"/>
      </top>
      <bottom style="thin">
        <color theme="1"/>
      </bottom>
      <diagonal/>
    </border>
    <border>
      <left style="hair">
        <color auto="1"/>
      </left>
      <right style="hair">
        <color auto="1"/>
      </right>
      <top/>
      <bottom/>
      <diagonal/>
    </border>
    <border>
      <left/>
      <right style="hair">
        <color auto="1"/>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thin">
        <color theme="1"/>
      </left>
      <right/>
      <top/>
      <bottom/>
      <diagonal/>
    </border>
  </borders>
  <cellStyleXfs count="68">
    <xf numFmtId="0" fontId="0" fillId="0" borderId="0"/>
    <xf numFmtId="3" fontId="6" fillId="5" borderId="0" applyNumberFormat="0" applyBorder="0"/>
    <xf numFmtId="3" fontId="6" fillId="4" borderId="0" applyNumberFormat="0" applyBorder="0">
      <protection locked="0"/>
    </xf>
    <xf numFmtId="3" fontId="6" fillId="3" borderId="0" applyNumberFormat="0" applyBorder="0"/>
    <xf numFmtId="0" fontId="9" fillId="2" borderId="1"/>
    <xf numFmtId="0" fontId="11" fillId="0" borderId="1"/>
    <xf numFmtId="0" fontId="13" fillId="6" borderId="4"/>
    <xf numFmtId="0" fontId="7" fillId="0" borderId="0"/>
    <xf numFmtId="0" fontId="8" fillId="0" borderId="0"/>
    <xf numFmtId="0" fontId="12" fillId="0" borderId="3"/>
    <xf numFmtId="0" fontId="10" fillId="0" borderId="2"/>
    <xf numFmtId="3" fontId="6" fillId="7" borderId="0" applyNumberFormat="0" applyBorder="0"/>
    <xf numFmtId="0" fontId="6" fillId="8" borderId="0" applyNumberFormat="0" applyBorder="0">
      <protection locked="0"/>
    </xf>
    <xf numFmtId="0" fontId="5" fillId="0" borderId="0"/>
    <xf numFmtId="0" fontId="15" fillId="0" borderId="0"/>
    <xf numFmtId="0" fontId="14" fillId="0" borderId="0"/>
    <xf numFmtId="43" fontId="14" fillId="0" borderId="0" applyFont="0" applyFill="0" applyBorder="0" applyAlignment="0" applyProtection="0"/>
    <xf numFmtId="0" fontId="14" fillId="0" borderId="0"/>
    <xf numFmtId="0" fontId="17" fillId="0" borderId="0"/>
    <xf numFmtId="0" fontId="18" fillId="0" borderId="0"/>
    <xf numFmtId="43" fontId="5" fillId="0" borderId="0" applyFont="0" applyFill="0" applyBorder="0" applyAlignment="0" applyProtection="0"/>
    <xf numFmtId="0" fontId="6" fillId="8" borderId="0" applyBorder="0">
      <protection locked="0"/>
    </xf>
    <xf numFmtId="43" fontId="14" fillId="0" borderId="0" applyFont="0" applyFill="0" applyBorder="0" applyAlignment="0" applyProtection="0"/>
    <xf numFmtId="9" fontId="14" fillId="0" borderId="0" applyFont="0" applyFill="0" applyBorder="0" applyAlignment="0" applyProtection="0"/>
    <xf numFmtId="0" fontId="4" fillId="0" borderId="0"/>
    <xf numFmtId="9" fontId="4" fillId="0" borderId="0" applyFont="0" applyFill="0" applyBorder="0" applyAlignment="0" applyProtection="0"/>
    <xf numFmtId="0" fontId="39" fillId="0" borderId="0" applyNumberFormat="0" applyFill="0" applyBorder="0" applyAlignment="0" applyProtection="0"/>
    <xf numFmtId="0" fontId="15" fillId="0" borderId="0"/>
    <xf numFmtId="0" fontId="43" fillId="0" borderId="0"/>
    <xf numFmtId="0" fontId="15" fillId="0" borderId="0"/>
    <xf numFmtId="0" fontId="43" fillId="0" borderId="0"/>
    <xf numFmtId="0" fontId="44" fillId="12" borderId="0" applyNumberFormat="0" applyBorder="0" applyAlignment="0" applyProtection="0"/>
    <xf numFmtId="43" fontId="3" fillId="0" borderId="0" applyFont="0" applyFill="0" applyBorder="0" applyAlignment="0" applyProtection="0"/>
    <xf numFmtId="0" fontId="31" fillId="13" borderId="0" applyNumberFormat="0" applyBorder="0" applyAlignment="0" applyProtection="0"/>
    <xf numFmtId="0" fontId="15" fillId="0" borderId="0"/>
    <xf numFmtId="0" fontId="3" fillId="0" borderId="0"/>
    <xf numFmtId="0" fontId="3" fillId="0" borderId="0"/>
    <xf numFmtId="0" fontId="3" fillId="0" borderId="0"/>
    <xf numFmtId="0" fontId="43" fillId="0" borderId="0"/>
    <xf numFmtId="0" fontId="3" fillId="0" borderId="0"/>
    <xf numFmtId="0" fontId="43" fillId="0" borderId="0"/>
    <xf numFmtId="0" fontId="3" fillId="0" borderId="0"/>
    <xf numFmtId="0" fontId="3" fillId="0" borderId="0"/>
    <xf numFmtId="0" fontId="3" fillId="0" borderId="0"/>
    <xf numFmtId="0" fontId="4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29" fillId="0" borderId="0"/>
    <xf numFmtId="0" fontId="15" fillId="0" borderId="0"/>
    <xf numFmtId="0" fontId="15" fillId="0" borderId="0"/>
    <xf numFmtId="9" fontId="4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6" fillId="0" borderId="0" applyFont="0" applyFill="0" applyBorder="0" applyAlignment="0" applyProtection="0"/>
    <xf numFmtId="9" fontId="3" fillId="0" borderId="0" applyFont="0" applyFill="0" applyBorder="0" applyAlignment="0" applyProtection="0"/>
    <xf numFmtId="0" fontId="31" fillId="14" borderId="0" applyBorder="0" applyAlignment="0" applyProtection="0"/>
    <xf numFmtId="0" fontId="42" fillId="0" borderId="0" applyNumberFormat="0" applyFill="0" applyBorder="0" applyAlignment="0" applyProtection="0"/>
    <xf numFmtId="0" fontId="48" fillId="17" borderId="0" applyNumberFormat="0" applyBorder="0" applyAlignment="0" applyProtection="0"/>
  </cellStyleXfs>
  <cellXfs count="734">
    <xf numFmtId="0" fontId="0" fillId="0" borderId="0" xfId="0"/>
    <xf numFmtId="0" fontId="9" fillId="2" borderId="1" xfId="4" applyAlignment="1">
      <alignment wrapText="1"/>
    </xf>
    <xf numFmtId="0" fontId="5" fillId="0" borderId="0" xfId="13"/>
    <xf numFmtId="0" fontId="9" fillId="2" borderId="1" xfId="4"/>
    <xf numFmtId="0" fontId="22" fillId="0" borderId="0" xfId="17" applyFont="1"/>
    <xf numFmtId="0" fontId="23" fillId="0" borderId="1" xfId="5" applyFont="1" applyAlignment="1">
      <alignment wrapText="1"/>
    </xf>
    <xf numFmtId="0" fontId="29" fillId="0" borderId="5" xfId="13" applyFont="1" applyBorder="1" applyAlignment="1">
      <alignment vertical="center" wrapText="1"/>
    </xf>
    <xf numFmtId="16" fontId="29" fillId="0" borderId="5" xfId="13" applyNumberFormat="1" applyFont="1" applyBorder="1" applyAlignment="1">
      <alignment vertical="center" wrapText="1"/>
    </xf>
    <xf numFmtId="17" fontId="29" fillId="0" borderId="5" xfId="13" applyNumberFormat="1" applyFont="1" applyBorder="1" applyAlignment="1">
      <alignment vertical="center" wrapText="1"/>
    </xf>
    <xf numFmtId="0" fontId="30" fillId="0" borderId="2" xfId="10" applyFont="1"/>
    <xf numFmtId="0" fontId="22" fillId="0" borderId="0" xfId="17" applyFont="1" applyAlignment="1">
      <alignment horizontal="left"/>
    </xf>
    <xf numFmtId="0" fontId="11" fillId="0" borderId="1" xfId="5" applyAlignment="1">
      <alignment wrapText="1"/>
    </xf>
    <xf numFmtId="0" fontId="14" fillId="0" borderId="0" xfId="17"/>
    <xf numFmtId="0" fontId="14" fillId="0" borderId="0" xfId="17" applyAlignment="1">
      <alignment wrapText="1"/>
    </xf>
    <xf numFmtId="0" fontId="16" fillId="0" borderId="0" xfId="17" applyFont="1"/>
    <xf numFmtId="0" fontId="6" fillId="4" borderId="5" xfId="2" applyNumberFormat="1" applyBorder="1" applyAlignment="1">
      <alignment vertical="center"/>
      <protection locked="0"/>
    </xf>
    <xf numFmtId="0" fontId="34" fillId="4" borderId="5" xfId="2" applyNumberFormat="1" applyFont="1" applyBorder="1" applyAlignment="1">
      <alignment vertical="center"/>
      <protection locked="0"/>
    </xf>
    <xf numFmtId="0" fontId="6" fillId="0" borderId="0" xfId="17" applyFont="1"/>
    <xf numFmtId="0" fontId="6" fillId="0" borderId="0" xfId="17" applyFont="1" applyAlignment="1">
      <alignment wrapText="1"/>
    </xf>
    <xf numFmtId="0" fontId="0" fillId="0" borderId="0" xfId="17" applyFont="1"/>
    <xf numFmtId="43" fontId="6" fillId="4" borderId="5" xfId="22" applyFont="1" applyFill="1" applyBorder="1" applyAlignment="1" applyProtection="1">
      <alignment vertical="center" wrapText="1"/>
      <protection locked="0"/>
    </xf>
    <xf numFmtId="43" fontId="6" fillId="4" borderId="5" xfId="22" applyFont="1" applyFill="1" applyBorder="1" applyAlignment="1" applyProtection="1">
      <alignment vertical="center"/>
      <protection locked="0"/>
    </xf>
    <xf numFmtId="43" fontId="6" fillId="0" borderId="0" xfId="22" applyFont="1" applyAlignment="1">
      <alignment wrapText="1"/>
    </xf>
    <xf numFmtId="43" fontId="6" fillId="0" borderId="0" xfId="22" applyFont="1" applyAlignment="1">
      <alignment vertical="center" wrapText="1"/>
    </xf>
    <xf numFmtId="43" fontId="35" fillId="4" borderId="5" xfId="22" applyFont="1" applyFill="1" applyBorder="1" applyAlignment="1" applyProtection="1">
      <alignment vertical="center"/>
      <protection locked="0"/>
    </xf>
    <xf numFmtId="43" fontId="34" fillId="4" borderId="5" xfId="22" applyFont="1" applyFill="1" applyBorder="1" applyAlignment="1" applyProtection="1">
      <alignment vertical="center"/>
      <protection locked="0"/>
    </xf>
    <xf numFmtId="43" fontId="6" fillId="0" borderId="0" xfId="22" applyFont="1"/>
    <xf numFmtId="43" fontId="14" fillId="0" borderId="0" xfId="22" applyFont="1"/>
    <xf numFmtId="0" fontId="16" fillId="0" borderId="0" xfId="0" applyFont="1"/>
    <xf numFmtId="0" fontId="39" fillId="0" borderId="0" xfId="26"/>
    <xf numFmtId="0" fontId="36" fillId="0" borderId="0" xfId="0" applyFont="1"/>
    <xf numFmtId="0" fontId="0" fillId="0" borderId="6" xfId="0" applyBorder="1"/>
    <xf numFmtId="0" fontId="34" fillId="4" borderId="6" xfId="2" applyNumberFormat="1" applyFont="1" applyBorder="1" applyAlignment="1">
      <alignment vertical="center"/>
      <protection locked="0"/>
    </xf>
    <xf numFmtId="43" fontId="35" fillId="4" borderId="5" xfId="22" applyFont="1" applyFill="1" applyBorder="1" applyAlignment="1" applyProtection="1">
      <alignment vertical="center" wrapText="1"/>
      <protection locked="0"/>
    </xf>
    <xf numFmtId="176" fontId="35" fillId="4" borderId="5" xfId="22" applyNumberFormat="1" applyFont="1" applyFill="1" applyBorder="1" applyAlignment="1" applyProtection="1">
      <alignment vertical="center"/>
      <protection locked="0"/>
    </xf>
    <xf numFmtId="4" fontId="35" fillId="4" borderId="5" xfId="22" applyNumberFormat="1" applyFont="1" applyFill="1" applyBorder="1" applyAlignment="1" applyProtection="1">
      <alignment vertical="center"/>
      <protection locked="0"/>
    </xf>
    <xf numFmtId="178" fontId="35" fillId="4" borderId="5" xfId="22" applyNumberFormat="1" applyFont="1" applyFill="1" applyBorder="1" applyAlignment="1" applyProtection="1">
      <alignment vertical="center" wrapText="1"/>
      <protection locked="0"/>
    </xf>
    <xf numFmtId="4" fontId="9" fillId="2" borderId="1" xfId="4" applyNumberFormat="1" applyAlignment="1">
      <alignment wrapText="1"/>
    </xf>
    <xf numFmtId="4" fontId="40" fillId="0" borderId="0" xfId="17" applyNumberFormat="1" applyFont="1" applyAlignment="1">
      <alignment horizontal="right" vertical="top"/>
    </xf>
    <xf numFmtId="4" fontId="14" fillId="0" borderId="0" xfId="17" applyNumberFormat="1" applyAlignment="1">
      <alignment wrapText="1"/>
    </xf>
    <xf numFmtId="4" fontId="6" fillId="0" borderId="0" xfId="17" applyNumberFormat="1" applyFont="1" applyAlignment="1">
      <alignment wrapText="1"/>
    </xf>
    <xf numFmtId="4" fontId="6" fillId="0" borderId="0" xfId="22" applyNumberFormat="1" applyFont="1" applyAlignment="1">
      <alignment wrapText="1"/>
    </xf>
    <xf numFmtId="4" fontId="6" fillId="0" borderId="0" xfId="22" applyNumberFormat="1" applyFont="1" applyAlignment="1">
      <alignment vertical="center" wrapText="1"/>
    </xf>
    <xf numFmtId="9" fontId="6" fillId="10" borderId="5" xfId="23" applyFont="1" applyFill="1" applyBorder="1" applyAlignment="1" applyProtection="1">
      <alignment horizontal="center" vertical="center"/>
      <protection locked="0"/>
    </xf>
    <xf numFmtId="4" fontId="6" fillId="10" borderId="5" xfId="22" applyNumberFormat="1" applyFont="1" applyFill="1" applyBorder="1" applyAlignment="1" applyProtection="1">
      <alignment vertical="center" wrapText="1"/>
      <protection locked="0"/>
    </xf>
    <xf numFmtId="0" fontId="39" fillId="0" borderId="0" xfId="26" applyFill="1"/>
    <xf numFmtId="1" fontId="0" fillId="0" borderId="0" xfId="0" applyNumberFormat="1"/>
    <xf numFmtId="164" fontId="0" fillId="0" borderId="0" xfId="0" applyNumberFormat="1"/>
    <xf numFmtId="0" fontId="24" fillId="0" borderId="0" xfId="28" applyFont="1"/>
    <xf numFmtId="0" fontId="25" fillId="0" borderId="0" xfId="28" applyFont="1"/>
    <xf numFmtId="0" fontId="22" fillId="0" borderId="0" xfId="0" applyFont="1"/>
    <xf numFmtId="0" fontId="34" fillId="0" borderId="0" xfId="26" applyFont="1" applyFill="1" applyBorder="1" applyAlignment="1"/>
    <xf numFmtId="0" fontId="39" fillId="0" borderId="0" xfId="26" applyFill="1" applyBorder="1" applyAlignment="1"/>
    <xf numFmtId="0" fontId="35" fillId="0" borderId="0" xfId="0" applyFont="1"/>
    <xf numFmtId="182" fontId="6" fillId="4" borderId="5" xfId="22" applyNumberFormat="1" applyFont="1" applyFill="1" applyBorder="1" applyAlignment="1" applyProtection="1">
      <alignment vertical="center"/>
      <protection locked="0"/>
    </xf>
    <xf numFmtId="43" fontId="14" fillId="0" borderId="0" xfId="17" applyNumberFormat="1"/>
    <xf numFmtId="0" fontId="0" fillId="0" borderId="6" xfId="0" applyBorder="1" applyAlignment="1">
      <alignment horizontal="center" vertical="center"/>
    </xf>
    <xf numFmtId="9" fontId="6" fillId="10" borderId="6" xfId="0" applyNumberFormat="1" applyFont="1" applyFill="1" applyBorder="1" applyAlignment="1">
      <alignment horizontal="center" vertical="center"/>
    </xf>
    <xf numFmtId="173" fontId="6" fillId="10" borderId="6" xfId="0" applyNumberFormat="1" applyFont="1" applyFill="1" applyBorder="1" applyAlignment="1">
      <alignment horizontal="center" vertical="center"/>
    </xf>
    <xf numFmtId="173" fontId="0" fillId="10" borderId="6" xfId="0" applyNumberFormat="1" applyFill="1" applyBorder="1" applyAlignment="1">
      <alignment horizontal="center" vertical="center"/>
    </xf>
    <xf numFmtId="2" fontId="6" fillId="10" borderId="6" xfId="0" applyNumberFormat="1" applyFont="1" applyFill="1" applyBorder="1" applyAlignment="1">
      <alignment horizontal="center" vertical="center"/>
    </xf>
    <xf numFmtId="0" fontId="41" fillId="0" borderId="6" xfId="26" applyFont="1" applyFill="1" applyBorder="1" applyAlignment="1">
      <alignment vertical="center"/>
    </xf>
    <xf numFmtId="0" fontId="0" fillId="0" borderId="0" xfId="0" applyAlignment="1">
      <alignment vertical="center"/>
    </xf>
    <xf numFmtId="43" fontId="6" fillId="4" borderId="21" xfId="22" applyFont="1" applyFill="1" applyBorder="1" applyAlignment="1" applyProtection="1">
      <alignment vertical="center"/>
      <protection locked="0"/>
    </xf>
    <xf numFmtId="0" fontId="34" fillId="4" borderId="22" xfId="2" applyNumberFormat="1" applyFont="1" applyBorder="1" applyAlignment="1">
      <alignment vertical="center"/>
      <protection locked="0"/>
    </xf>
    <xf numFmtId="43" fontId="6" fillId="4" borderId="22" xfId="22" applyFont="1" applyFill="1" applyBorder="1" applyAlignment="1" applyProtection="1">
      <alignment vertical="center"/>
      <protection locked="0"/>
    </xf>
    <xf numFmtId="43" fontId="6" fillId="4" borderId="22" xfId="22" applyFont="1" applyFill="1" applyBorder="1" applyAlignment="1" applyProtection="1">
      <alignment vertical="center" wrapText="1"/>
      <protection locked="0"/>
    </xf>
    <xf numFmtId="4" fontId="6" fillId="10" borderId="22" xfId="22" applyNumberFormat="1" applyFont="1" applyFill="1" applyBorder="1" applyAlignment="1" applyProtection="1">
      <alignment vertical="center" wrapText="1"/>
      <protection locked="0"/>
    </xf>
    <xf numFmtId="0" fontId="34" fillId="0" borderId="0" xfId="2" applyNumberFormat="1" applyFont="1" applyFill="1" applyBorder="1" applyAlignment="1">
      <alignment vertical="center"/>
      <protection locked="0"/>
    </xf>
    <xf numFmtId="0" fontId="6" fillId="0" borderId="0" xfId="2" applyNumberFormat="1" applyFill="1" applyBorder="1" applyAlignment="1">
      <alignment vertical="center"/>
      <protection locked="0"/>
    </xf>
    <xf numFmtId="43" fontId="6" fillId="0" borderId="0" xfId="22" applyFont="1" applyFill="1" applyBorder="1" applyAlignment="1" applyProtection="1">
      <alignment vertical="center"/>
      <protection locked="0"/>
    </xf>
    <xf numFmtId="43" fontId="6" fillId="0" borderId="0" xfId="22" applyFont="1" applyFill="1" applyBorder="1" applyAlignment="1" applyProtection="1">
      <alignment vertical="center" wrapText="1"/>
      <protection locked="0"/>
    </xf>
    <xf numFmtId="178" fontId="35" fillId="0" borderId="0" xfId="22" applyNumberFormat="1" applyFont="1" applyFill="1" applyBorder="1" applyAlignment="1" applyProtection="1">
      <alignment vertical="center" wrapText="1"/>
      <protection locked="0"/>
    </xf>
    <xf numFmtId="4" fontId="6" fillId="0" borderId="0" xfId="22" applyNumberFormat="1" applyFont="1" applyFill="1" applyBorder="1" applyAlignment="1" applyProtection="1">
      <alignment vertical="center" wrapText="1"/>
      <protection locked="0"/>
    </xf>
    <xf numFmtId="43" fontId="34" fillId="0" borderId="0" xfId="22" applyFont="1" applyFill="1" applyBorder="1" applyAlignment="1" applyProtection="1">
      <alignment vertical="center"/>
      <protection locked="0"/>
    </xf>
    <xf numFmtId="4" fontId="35" fillId="0" borderId="0" xfId="22" applyNumberFormat="1" applyFont="1" applyFill="1" applyBorder="1" applyAlignment="1" applyProtection="1">
      <alignment vertical="center" wrapText="1"/>
      <protection locked="0"/>
    </xf>
    <xf numFmtId="43" fontId="35" fillId="0" borderId="0" xfId="22" applyFont="1" applyFill="1" applyBorder="1" applyAlignment="1" applyProtection="1">
      <alignment vertical="center"/>
      <protection locked="0"/>
    </xf>
    <xf numFmtId="0" fontId="54" fillId="0" borderId="0" xfId="0" applyFont="1"/>
    <xf numFmtId="0" fontId="34" fillId="0" borderId="0" xfId="2" applyNumberFormat="1" applyFont="1" applyFill="1" applyAlignment="1">
      <alignment vertical="center"/>
      <protection locked="0"/>
    </xf>
    <xf numFmtId="43" fontId="6" fillId="0" borderId="0" xfId="22" applyFont="1" applyAlignment="1" applyProtection="1">
      <alignment vertical="center"/>
      <protection locked="0"/>
    </xf>
    <xf numFmtId="0" fontId="52" fillId="0" borderId="0" xfId="0" applyFont="1" applyAlignment="1">
      <alignment vertical="center"/>
    </xf>
    <xf numFmtId="0" fontId="0" fillId="0" borderId="0" xfId="0" applyAlignment="1">
      <alignment wrapText="1"/>
    </xf>
    <xf numFmtId="181" fontId="35" fillId="4" borderId="5" xfId="22" applyNumberFormat="1" applyFont="1" applyFill="1" applyBorder="1" applyAlignment="1" applyProtection="1">
      <alignment vertical="center"/>
      <protection locked="0"/>
    </xf>
    <xf numFmtId="0" fontId="34" fillId="0" borderId="0" xfId="17" applyFont="1"/>
    <xf numFmtId="43" fontId="34" fillId="0" borderId="0" xfId="22" applyFont="1"/>
    <xf numFmtId="43" fontId="16" fillId="0" borderId="0" xfId="22" applyFont="1"/>
    <xf numFmtId="43" fontId="34" fillId="0" borderId="0" xfId="22" applyFont="1" applyAlignment="1">
      <alignment wrapText="1"/>
    </xf>
    <xf numFmtId="4" fontId="34" fillId="0" borderId="0" xfId="22" applyNumberFormat="1" applyFont="1" applyAlignment="1">
      <alignment wrapText="1"/>
    </xf>
    <xf numFmtId="179" fontId="6" fillId="10" borderId="5" xfId="2" applyNumberFormat="1" applyFill="1" applyBorder="1" applyAlignment="1">
      <alignment horizontal="center" vertical="center"/>
      <protection locked="0"/>
    </xf>
    <xf numFmtId="0" fontId="34" fillId="0" borderId="0" xfId="0" applyFont="1"/>
    <xf numFmtId="4" fontId="0" fillId="0" borderId="0" xfId="0" applyNumberFormat="1"/>
    <xf numFmtId="0" fontId="35" fillId="0" borderId="0" xfId="17" applyFont="1"/>
    <xf numFmtId="174" fontId="35" fillId="0" borderId="0" xfId="17" applyNumberFormat="1" applyFont="1"/>
    <xf numFmtId="0" fontId="41" fillId="0" borderId="6" xfId="26" applyFont="1" applyBorder="1" applyAlignment="1">
      <alignment vertical="center"/>
    </xf>
    <xf numFmtId="0" fontId="41" fillId="0" borderId="0" xfId="26" applyFont="1" applyFill="1" applyBorder="1" applyAlignment="1">
      <alignment horizontal="left" vertical="center" wrapText="1"/>
    </xf>
    <xf numFmtId="0" fontId="41" fillId="0" borderId="0" xfId="26" applyFont="1" applyFill="1" applyBorder="1" applyAlignment="1">
      <alignment vertical="center"/>
    </xf>
    <xf numFmtId="0" fontId="41" fillId="0" borderId="9" xfId="26" applyFont="1" applyFill="1" applyBorder="1" applyAlignment="1">
      <alignment vertical="center"/>
    </xf>
    <xf numFmtId="0" fontId="66" fillId="16" borderId="6" xfId="26" applyFont="1" applyFill="1" applyBorder="1" applyAlignment="1">
      <alignment vertical="center"/>
    </xf>
    <xf numFmtId="0" fontId="59" fillId="0" borderId="0" xfId="0" applyFont="1" applyAlignment="1">
      <alignment vertical="center"/>
    </xf>
    <xf numFmtId="9" fontId="58" fillId="0" borderId="6" xfId="0" applyNumberFormat="1" applyFont="1" applyBorder="1" applyAlignment="1">
      <alignment horizontal="center"/>
    </xf>
    <xf numFmtId="0" fontId="67" fillId="0" borderId="0" xfId="0" applyFont="1"/>
    <xf numFmtId="0" fontId="59" fillId="0" borderId="0" xfId="0" applyFont="1"/>
    <xf numFmtId="173" fontId="67" fillId="16" borderId="6" xfId="0" applyNumberFormat="1" applyFont="1" applyFill="1" applyBorder="1" applyAlignment="1">
      <alignment horizontal="center"/>
    </xf>
    <xf numFmtId="173" fontId="67" fillId="0" borderId="6" xfId="0" applyNumberFormat="1" applyFont="1" applyBorder="1" applyAlignment="1">
      <alignment horizontal="center"/>
    </xf>
    <xf numFmtId="0" fontId="68" fillId="0" borderId="0" xfId="0" applyFont="1" applyAlignment="1">
      <alignment vertical="center"/>
    </xf>
    <xf numFmtId="0" fontId="68" fillId="0" borderId="0" xfId="0" applyFont="1"/>
    <xf numFmtId="0" fontId="65" fillId="15" borderId="6" xfId="0" applyFont="1" applyFill="1" applyBorder="1" applyAlignment="1">
      <alignment wrapText="1"/>
    </xf>
    <xf numFmtId="4" fontId="14" fillId="0" borderId="0" xfId="17" applyNumberFormat="1"/>
    <xf numFmtId="2" fontId="16" fillId="0" borderId="0" xfId="0" applyNumberFormat="1" applyFont="1"/>
    <xf numFmtId="0" fontId="6" fillId="9" borderId="5" xfId="2" applyNumberFormat="1" applyFill="1" applyBorder="1" applyAlignment="1">
      <alignment vertical="center"/>
      <protection locked="0"/>
    </xf>
    <xf numFmtId="43" fontId="35" fillId="9" borderId="5" xfId="22" applyFont="1" applyFill="1" applyBorder="1" applyAlignment="1" applyProtection="1">
      <alignment vertical="center"/>
      <protection locked="0"/>
    </xf>
    <xf numFmtId="43" fontId="6" fillId="9" borderId="5" xfId="22" applyFont="1" applyFill="1" applyBorder="1" applyAlignment="1" applyProtection="1">
      <alignment vertical="center"/>
      <protection locked="0"/>
    </xf>
    <xf numFmtId="4" fontId="16" fillId="0" borderId="0" xfId="17" applyNumberFormat="1" applyFont="1"/>
    <xf numFmtId="4" fontId="0" fillId="0" borderId="0" xfId="17" applyNumberFormat="1" applyFont="1"/>
    <xf numFmtId="2" fontId="59" fillId="0" borderId="0" xfId="0" applyNumberFormat="1" applyFont="1"/>
    <xf numFmtId="0" fontId="29" fillId="0" borderId="0" xfId="14" applyFont="1"/>
    <xf numFmtId="0" fontId="23" fillId="0" borderId="2" xfId="10" applyFont="1"/>
    <xf numFmtId="0" fontId="64" fillId="0" borderId="0" xfId="0" applyFont="1"/>
    <xf numFmtId="0" fontId="6" fillId="0" borderId="0" xfId="3" applyNumberFormat="1" applyFill="1"/>
    <xf numFmtId="0" fontId="6" fillId="0" borderId="0" xfId="1" applyNumberFormat="1" applyFill="1"/>
    <xf numFmtId="164" fontId="6" fillId="0" borderId="0" xfId="3" applyNumberFormat="1" applyFill="1"/>
    <xf numFmtId="164" fontId="34" fillId="0" borderId="0" xfId="0" applyNumberFormat="1" applyFont="1"/>
    <xf numFmtId="4" fontId="0" fillId="0" borderId="0" xfId="22" applyNumberFormat="1" applyFont="1" applyFill="1"/>
    <xf numFmtId="4" fontId="16" fillId="0" borderId="0" xfId="0" applyNumberFormat="1" applyFont="1"/>
    <xf numFmtId="3" fontId="0" fillId="0" borderId="0" xfId="0" applyNumberFormat="1"/>
    <xf numFmtId="4" fontId="0" fillId="0" borderId="0" xfId="17" applyNumberFormat="1" applyFont="1" applyAlignment="1">
      <alignment wrapText="1"/>
    </xf>
    <xf numFmtId="0" fontId="0" fillId="0" borderId="0" xfId="17" applyFont="1" applyAlignment="1">
      <alignment wrapText="1"/>
    </xf>
    <xf numFmtId="0" fontId="6" fillId="0" borderId="0" xfId="19" applyFont="1"/>
    <xf numFmtId="0" fontId="58" fillId="0" borderId="0" xfId="19" applyFont="1"/>
    <xf numFmtId="0" fontId="29" fillId="0" borderId="0" xfId="19" applyFont="1"/>
    <xf numFmtId="0" fontId="23" fillId="0" borderId="0" xfId="5" applyFont="1" applyBorder="1" applyAlignment="1">
      <alignment wrapText="1"/>
    </xf>
    <xf numFmtId="0" fontId="22" fillId="3" borderId="6" xfId="17" applyFont="1" applyFill="1" applyBorder="1"/>
    <xf numFmtId="0" fontId="72" fillId="0" borderId="0" xfId="17" applyFont="1"/>
    <xf numFmtId="0" fontId="34" fillId="4" borderId="6" xfId="2" applyNumberFormat="1" applyFont="1" applyBorder="1" applyAlignment="1">
      <alignment horizontal="right" vertical="center"/>
      <protection locked="0"/>
    </xf>
    <xf numFmtId="0" fontId="34" fillId="10" borderId="6" xfId="2" applyNumberFormat="1" applyFont="1" applyFill="1" applyBorder="1" applyAlignment="1">
      <alignment horizontal="right" vertical="center"/>
      <protection locked="0"/>
    </xf>
    <xf numFmtId="4" fontId="0" fillId="0" borderId="0" xfId="22" applyNumberFormat="1" applyFont="1"/>
    <xf numFmtId="4" fontId="6" fillId="0" borderId="0" xfId="1" applyNumberFormat="1" applyFill="1"/>
    <xf numFmtId="0" fontId="22" fillId="9" borderId="5" xfId="17" applyFont="1" applyFill="1" applyBorder="1" applyAlignment="1">
      <alignment horizontal="left"/>
    </xf>
    <xf numFmtId="0" fontId="0" fillId="0" borderId="0" xfId="0" applyAlignment="1">
      <alignment horizontal="center"/>
    </xf>
    <xf numFmtId="4" fontId="6" fillId="0" borderId="0" xfId="22" applyNumberFormat="1" applyFont="1" applyAlignment="1"/>
    <xf numFmtId="4" fontId="6" fillId="0" borderId="0" xfId="17" applyNumberFormat="1" applyFont="1"/>
    <xf numFmtId="4" fontId="6" fillId="0" borderId="0" xfId="22" applyNumberFormat="1" applyFont="1" applyAlignment="1">
      <alignment vertical="center"/>
    </xf>
    <xf numFmtId="4" fontId="6" fillId="0" borderId="0" xfId="22" applyNumberFormat="1" applyFont="1" applyFill="1" applyBorder="1" applyAlignment="1" applyProtection="1">
      <alignment vertical="center"/>
      <protection locked="0"/>
    </xf>
    <xf numFmtId="4" fontId="34" fillId="0" borderId="0" xfId="22" applyNumberFormat="1" applyFont="1" applyAlignment="1"/>
    <xf numFmtId="0" fontId="34" fillId="26" borderId="6" xfId="2" applyNumberFormat="1" applyFont="1" applyFill="1" applyBorder="1" applyAlignment="1">
      <alignment horizontal="right" vertical="center"/>
      <protection locked="0"/>
    </xf>
    <xf numFmtId="0" fontId="11" fillId="15" borderId="0" xfId="10" applyFont="1" applyFill="1" applyBorder="1" applyAlignment="1">
      <alignment vertical="center"/>
    </xf>
    <xf numFmtId="0" fontId="34" fillId="15" borderId="0" xfId="2" applyNumberFormat="1" applyFont="1" applyFill="1" applyBorder="1" applyAlignment="1">
      <alignment vertical="center"/>
      <protection locked="0"/>
    </xf>
    <xf numFmtId="4" fontId="53" fillId="15" borderId="0" xfId="22" applyNumberFormat="1" applyFont="1" applyFill="1" applyBorder="1" applyAlignment="1" applyProtection="1">
      <alignment vertical="center" wrapText="1"/>
      <protection locked="0"/>
    </xf>
    <xf numFmtId="43" fontId="53" fillId="15" borderId="0" xfId="22" applyFont="1" applyFill="1" applyBorder="1" applyAlignment="1" applyProtection="1">
      <alignment vertical="center"/>
      <protection locked="0"/>
    </xf>
    <xf numFmtId="43" fontId="34" fillId="15" borderId="0" xfId="22" applyFont="1" applyFill="1" applyBorder="1" applyAlignment="1" applyProtection="1">
      <alignment vertical="center"/>
      <protection locked="0"/>
    </xf>
    <xf numFmtId="43" fontId="34" fillId="15" borderId="0" xfId="22" applyFont="1" applyFill="1" applyBorder="1" applyAlignment="1" applyProtection="1">
      <alignment vertical="center" wrapText="1"/>
      <protection locked="0"/>
    </xf>
    <xf numFmtId="43" fontId="34" fillId="15" borderId="0" xfId="22" applyFont="1" applyFill="1" applyAlignment="1" applyProtection="1">
      <alignment vertical="center" wrapText="1"/>
      <protection locked="0"/>
    </xf>
    <xf numFmtId="0" fontId="16" fillId="15" borderId="0" xfId="17" applyFont="1" applyFill="1"/>
    <xf numFmtId="4" fontId="16" fillId="15" borderId="6" xfId="17" applyNumberFormat="1" applyFont="1" applyFill="1" applyBorder="1" applyAlignment="1">
      <alignment wrapText="1"/>
    </xf>
    <xf numFmtId="0" fontId="6" fillId="15" borderId="0" xfId="2" applyNumberFormat="1" applyFill="1" applyBorder="1" applyAlignment="1">
      <alignment vertical="center"/>
      <protection locked="0"/>
    </xf>
    <xf numFmtId="43" fontId="6" fillId="15" borderId="0" xfId="22" applyFont="1" applyFill="1" applyBorder="1" applyAlignment="1" applyProtection="1">
      <alignment vertical="center"/>
      <protection locked="0"/>
    </xf>
    <xf numFmtId="43" fontId="6" fillId="15" borderId="0" xfId="22" applyFont="1" applyFill="1" applyBorder="1" applyAlignment="1" applyProtection="1">
      <alignment vertical="center" wrapText="1"/>
      <protection locked="0"/>
    </xf>
    <xf numFmtId="178" fontId="35" fillId="15" borderId="0" xfId="22" applyNumberFormat="1" applyFont="1" applyFill="1" applyBorder="1" applyAlignment="1" applyProtection="1">
      <alignment vertical="center" wrapText="1"/>
      <protection locked="0"/>
    </xf>
    <xf numFmtId="0" fontId="14" fillId="15" borderId="0" xfId="17" applyFill="1"/>
    <xf numFmtId="0" fontId="34" fillId="15" borderId="0" xfId="17" applyFont="1" applyFill="1" applyAlignment="1">
      <alignment vertical="center" wrapText="1"/>
    </xf>
    <xf numFmtId="43" fontId="34" fillId="15" borderId="0" xfId="22" applyFont="1" applyFill="1" applyAlignment="1">
      <alignment vertical="center" wrapText="1"/>
    </xf>
    <xf numFmtId="43" fontId="16" fillId="15" borderId="0" xfId="22" applyFont="1" applyFill="1" applyAlignment="1">
      <alignment vertical="center" wrapText="1"/>
    </xf>
    <xf numFmtId="0" fontId="16" fillId="15" borderId="0" xfId="0" applyFont="1" applyFill="1"/>
    <xf numFmtId="0" fontId="16" fillId="15" borderId="0" xfId="17" applyFont="1" applyFill="1" applyAlignment="1">
      <alignment vertical="center" wrapText="1"/>
    </xf>
    <xf numFmtId="173" fontId="75" fillId="3" borderId="6" xfId="0" applyNumberFormat="1" applyFont="1" applyFill="1" applyBorder="1" applyAlignment="1">
      <alignment horizontal="center" vertical="center"/>
    </xf>
    <xf numFmtId="4" fontId="6" fillId="0" borderId="6" xfId="0" applyNumberFormat="1" applyFont="1" applyBorder="1" applyAlignment="1">
      <alignment horizontal="center"/>
    </xf>
    <xf numFmtId="0" fontId="29" fillId="0" borderId="6" xfId="0" applyFont="1" applyBorder="1"/>
    <xf numFmtId="0" fontId="6" fillId="0" borderId="6" xfId="0" applyFont="1" applyBorder="1"/>
    <xf numFmtId="4" fontId="29" fillId="0" borderId="6" xfId="0" applyNumberFormat="1" applyFont="1" applyBorder="1"/>
    <xf numFmtId="2" fontId="6" fillId="10" borderId="6" xfId="0" applyNumberFormat="1" applyFont="1" applyFill="1" applyBorder="1" applyAlignment="1">
      <alignment horizontal="center"/>
    </xf>
    <xf numFmtId="4" fontId="0" fillId="10" borderId="6" xfId="0" applyNumberFormat="1" applyFill="1" applyBorder="1" applyAlignment="1">
      <alignment horizontal="center" vertical="center"/>
    </xf>
    <xf numFmtId="4" fontId="16" fillId="15" borderId="6" xfId="17" applyNumberFormat="1" applyFont="1" applyFill="1" applyBorder="1"/>
    <xf numFmtId="4" fontId="16" fillId="27" borderId="6" xfId="17" applyNumberFormat="1" applyFont="1" applyFill="1" applyBorder="1" applyAlignment="1">
      <alignment wrapText="1"/>
    </xf>
    <xf numFmtId="43" fontId="0" fillId="0" borderId="0" xfId="0" applyNumberFormat="1"/>
    <xf numFmtId="0" fontId="77" fillId="3" borderId="9" xfId="0" applyFont="1" applyFill="1" applyBorder="1" applyAlignment="1">
      <alignment horizontal="center" wrapText="1"/>
    </xf>
    <xf numFmtId="0" fontId="77" fillId="3" borderId="6" xfId="0" applyFont="1" applyFill="1" applyBorder="1" applyAlignment="1">
      <alignment horizontal="center" wrapText="1"/>
    </xf>
    <xf numFmtId="0" fontId="11" fillId="0" borderId="1" xfId="5"/>
    <xf numFmtId="0" fontId="10" fillId="0" borderId="2" xfId="10"/>
    <xf numFmtId="0" fontId="0" fillId="0" borderId="0" xfId="0" applyAlignment="1">
      <alignment horizontal="left"/>
    </xf>
    <xf numFmtId="0" fontId="6" fillId="26" borderId="5" xfId="2" applyNumberFormat="1" applyFill="1" applyBorder="1" applyAlignment="1">
      <alignment vertical="center"/>
      <protection locked="0"/>
    </xf>
    <xf numFmtId="0" fontId="6" fillId="26" borderId="22" xfId="2" applyNumberFormat="1" applyFill="1" applyBorder="1" applyAlignment="1">
      <alignment vertical="center"/>
      <protection locked="0"/>
    </xf>
    <xf numFmtId="0" fontId="6" fillId="26" borderId="6" xfId="2" applyNumberFormat="1" applyFill="1" applyBorder="1" applyAlignment="1">
      <alignment vertical="center"/>
      <protection locked="0"/>
    </xf>
    <xf numFmtId="0" fontId="81" fillId="11" borderId="6" xfId="26" applyFont="1" applyFill="1" applyBorder="1" applyAlignment="1"/>
    <xf numFmtId="0" fontId="81" fillId="11" borderId="6" xfId="26" applyFont="1" applyFill="1" applyBorder="1"/>
    <xf numFmtId="0" fontId="35" fillId="4" borderId="5" xfId="2" applyNumberFormat="1" applyFont="1" applyBorder="1" applyAlignment="1">
      <alignment vertical="center"/>
      <protection locked="0"/>
    </xf>
    <xf numFmtId="0" fontId="83" fillId="9" borderId="5" xfId="2" applyNumberFormat="1" applyFont="1" applyFill="1" applyBorder="1" applyAlignment="1">
      <alignment vertical="center"/>
      <protection locked="0"/>
    </xf>
    <xf numFmtId="0" fontId="53" fillId="4" borderId="5" xfId="2" applyNumberFormat="1" applyFont="1" applyBorder="1" applyAlignment="1">
      <alignment vertical="center"/>
      <protection locked="0"/>
    </xf>
    <xf numFmtId="0" fontId="53" fillId="4" borderId="22" xfId="2" applyNumberFormat="1" applyFont="1" applyBorder="1" applyAlignment="1">
      <alignment vertical="center"/>
      <protection locked="0"/>
    </xf>
    <xf numFmtId="0" fontId="52" fillId="0" borderId="0" xfId="17" applyFont="1"/>
    <xf numFmtId="0" fontId="76" fillId="15" borderId="0" xfId="0" applyFont="1" applyFill="1"/>
    <xf numFmtId="0" fontId="0" fillId="9" borderId="0" xfId="0" applyFill="1"/>
    <xf numFmtId="0" fontId="57" fillId="9" borderId="0" xfId="0" applyFont="1" applyFill="1" applyAlignment="1">
      <alignment vertical="top"/>
    </xf>
    <xf numFmtId="0" fontId="16" fillId="9" borderId="0" xfId="0" applyFont="1" applyFill="1" applyAlignment="1">
      <alignment vertical="top"/>
    </xf>
    <xf numFmtId="0" fontId="37" fillId="9" borderId="0" xfId="0" applyFont="1" applyFill="1" applyAlignment="1">
      <alignment horizontal="left" vertical="top" wrapText="1"/>
    </xf>
    <xf numFmtId="0" fontId="38" fillId="9" borderId="0" xfId="0" applyFont="1" applyFill="1"/>
    <xf numFmtId="177" fontId="0" fillId="9" borderId="0" xfId="0" quotePrefix="1" applyNumberFormat="1" applyFill="1" applyAlignment="1">
      <alignment horizontal="left"/>
    </xf>
    <xf numFmtId="0" fontId="65" fillId="15" borderId="11" xfId="0" applyFont="1" applyFill="1" applyBorder="1"/>
    <xf numFmtId="0" fontId="38" fillId="15" borderId="12" xfId="0" applyFont="1" applyFill="1" applyBorder="1"/>
    <xf numFmtId="177" fontId="0" fillId="15" borderId="13" xfId="0" quotePrefix="1" applyNumberFormat="1" applyFill="1" applyBorder="1" applyAlignment="1">
      <alignment horizontal="left"/>
    </xf>
    <xf numFmtId="0" fontId="34" fillId="9" borderId="14" xfId="2" applyNumberFormat="1" applyFont="1" applyFill="1" applyBorder="1" applyAlignment="1" applyProtection="1">
      <alignment vertical="center"/>
    </xf>
    <xf numFmtId="0" fontId="34" fillId="9" borderId="17" xfId="2" applyNumberFormat="1" applyFont="1" applyFill="1" applyBorder="1" applyAlignment="1" applyProtection="1">
      <alignment vertical="center"/>
    </xf>
    <xf numFmtId="0" fontId="0" fillId="0" borderId="0" xfId="0" applyAlignment="1">
      <alignment horizontal="right" vertical="center"/>
    </xf>
    <xf numFmtId="0" fontId="34" fillId="9" borderId="0" xfId="2" applyNumberFormat="1" applyFont="1" applyFill="1" applyBorder="1" applyAlignment="1" applyProtection="1">
      <alignment vertical="center"/>
    </xf>
    <xf numFmtId="0" fontId="65" fillId="15" borderId="11" xfId="0" applyFont="1" applyFill="1" applyBorder="1" applyAlignment="1">
      <alignment horizontal="left"/>
    </xf>
    <xf numFmtId="0" fontId="0" fillId="15" borderId="12" xfId="0" applyFill="1" applyBorder="1" applyAlignment="1">
      <alignment horizontal="left"/>
    </xf>
    <xf numFmtId="0" fontId="34" fillId="15" borderId="13" xfId="2" applyNumberFormat="1" applyFont="1" applyFill="1" applyBorder="1" applyAlignment="1" applyProtection="1">
      <alignment vertical="center"/>
    </xf>
    <xf numFmtId="0" fontId="34" fillId="9" borderId="0" xfId="2" applyNumberFormat="1" applyFont="1" applyFill="1" applyBorder="1" applyAlignment="1" applyProtection="1">
      <alignment horizontal="right" vertical="center"/>
    </xf>
    <xf numFmtId="0" fontId="34" fillId="15" borderId="9" xfId="2" applyNumberFormat="1" applyFont="1" applyFill="1" applyBorder="1" applyAlignment="1" applyProtection="1">
      <alignment horizontal="right" vertical="center"/>
    </xf>
    <xf numFmtId="0" fontId="16" fillId="9" borderId="0" xfId="0" applyFont="1" applyFill="1" applyAlignment="1">
      <alignment horizontal="right" vertical="center"/>
    </xf>
    <xf numFmtId="0" fontId="65" fillId="15" borderId="11" xfId="0" applyFont="1" applyFill="1" applyBorder="1" applyAlignment="1">
      <alignment horizontal="left" vertical="top"/>
    </xf>
    <xf numFmtId="0" fontId="0" fillId="15" borderId="12" xfId="0" applyFill="1" applyBorder="1" applyAlignment="1">
      <alignment horizontal="left" vertical="top"/>
    </xf>
    <xf numFmtId="0" fontId="16" fillId="15" borderId="13" xfId="0" applyFont="1" applyFill="1" applyBorder="1" applyAlignment="1">
      <alignment horizontal="left" vertical="top"/>
    </xf>
    <xf numFmtId="0" fontId="0" fillId="9" borderId="0" xfId="0" applyFill="1" applyAlignment="1">
      <alignment horizontal="right" vertical="center" wrapText="1"/>
    </xf>
    <xf numFmtId="0" fontId="34" fillId="9" borderId="0" xfId="2" applyNumberFormat="1" applyFont="1" applyFill="1" applyAlignment="1" applyProtection="1">
      <alignment vertical="center"/>
    </xf>
    <xf numFmtId="0" fontId="37" fillId="15" borderId="12" xfId="0" applyFont="1" applyFill="1" applyBorder="1" applyAlignment="1">
      <alignment horizontal="left" vertical="top"/>
    </xf>
    <xf numFmtId="0" fontId="16" fillId="15" borderId="12" xfId="0" applyFont="1" applyFill="1" applyBorder="1" applyAlignment="1">
      <alignment horizontal="right" vertical="center"/>
    </xf>
    <xf numFmtId="0" fontId="0" fillId="9" borderId="7" xfId="0" applyFill="1" applyBorder="1" applyAlignment="1">
      <alignment horizontal="left" vertical="top"/>
    </xf>
    <xf numFmtId="0" fontId="16" fillId="0" borderId="14" xfId="0" applyFont="1" applyBorder="1" applyAlignment="1">
      <alignment horizontal="left" vertical="top"/>
    </xf>
    <xf numFmtId="0" fontId="9" fillId="9" borderId="0" xfId="0" applyFont="1" applyFill="1" applyAlignment="1">
      <alignment vertical="center" wrapText="1"/>
    </xf>
    <xf numFmtId="0" fontId="0" fillId="9" borderId="7" xfId="0" applyFill="1" applyBorder="1"/>
    <xf numFmtId="0" fontId="49" fillId="9" borderId="0" xfId="0" applyFont="1" applyFill="1"/>
    <xf numFmtId="0" fontId="0" fillId="9" borderId="0" xfId="0" applyFill="1" applyAlignment="1">
      <alignment horizontal="right" vertical="center"/>
    </xf>
    <xf numFmtId="0" fontId="0" fillId="15" borderId="12" xfId="0" applyFill="1" applyBorder="1" applyAlignment="1">
      <alignment horizontal="right" vertical="center"/>
    </xf>
    <xf numFmtId="0" fontId="0" fillId="15" borderId="13" xfId="0" applyFill="1" applyBorder="1"/>
    <xf numFmtId="0" fontId="9" fillId="9" borderId="0" xfId="0" applyFont="1" applyFill="1" applyAlignment="1">
      <alignment horizontal="center" vertical="center" wrapText="1"/>
    </xf>
    <xf numFmtId="0" fontId="49" fillId="9" borderId="16" xfId="0" applyFont="1" applyFill="1" applyBorder="1" applyAlignment="1">
      <alignment horizontal="left" vertical="top" wrapText="1"/>
    </xf>
    <xf numFmtId="0" fontId="34" fillId="9" borderId="20" xfId="2" applyNumberFormat="1" applyFont="1" applyFill="1" applyBorder="1" applyAlignment="1" applyProtection="1">
      <alignment vertical="center"/>
    </xf>
    <xf numFmtId="0" fontId="16" fillId="9" borderId="0" xfId="0" applyFont="1" applyFill="1" applyAlignment="1">
      <alignment horizontal="left"/>
    </xf>
    <xf numFmtId="0" fontId="16" fillId="15" borderId="13" xfId="0" applyFont="1" applyFill="1" applyBorder="1" applyAlignment="1">
      <alignment horizontal="left"/>
    </xf>
    <xf numFmtId="0" fontId="16" fillId="9" borderId="14" xfId="0" applyFont="1" applyFill="1" applyBorder="1" applyAlignment="1">
      <alignment horizontal="left"/>
    </xf>
    <xf numFmtId="0" fontId="0" fillId="9" borderId="7" xfId="0" applyFill="1" applyBorder="1" applyAlignment="1">
      <alignment horizontal="left"/>
    </xf>
    <xf numFmtId="0" fontId="34" fillId="15" borderId="12" xfId="2" applyNumberFormat="1" applyFont="1" applyFill="1" applyBorder="1" applyAlignment="1" applyProtection="1">
      <alignment horizontal="right" vertical="center"/>
    </xf>
    <xf numFmtId="0" fontId="16" fillId="9" borderId="0" xfId="0" applyFont="1" applyFill="1" applyAlignment="1">
      <alignment horizontal="left" vertical="top" wrapText="1"/>
    </xf>
    <xf numFmtId="0" fontId="73" fillId="9" borderId="0" xfId="0" applyFont="1" applyFill="1" applyAlignment="1">
      <alignment vertical="top"/>
    </xf>
    <xf numFmtId="0" fontId="59" fillId="9" borderId="0" xfId="0" applyFont="1" applyFill="1"/>
    <xf numFmtId="0" fontId="59" fillId="9" borderId="0" xfId="0" applyFont="1" applyFill="1" applyAlignment="1">
      <alignment vertical="top" wrapText="1"/>
    </xf>
    <xf numFmtId="0" fontId="34" fillId="26" borderId="18" xfId="2" applyNumberFormat="1" applyFont="1" applyFill="1" applyBorder="1" applyAlignment="1">
      <alignment horizontal="right" vertical="center"/>
      <protection locked="0"/>
    </xf>
    <xf numFmtId="9" fontId="34" fillId="4" borderId="6" xfId="2" applyNumberFormat="1" applyFont="1" applyBorder="1" applyAlignment="1">
      <alignment horizontal="right" vertical="center"/>
      <protection locked="0"/>
    </xf>
    <xf numFmtId="4" fontId="34" fillId="4" borderId="19" xfId="2" applyNumberFormat="1" applyFont="1" applyBorder="1" applyAlignment="1">
      <alignment horizontal="right" vertical="center"/>
      <protection locked="0"/>
    </xf>
    <xf numFmtId="180" fontId="34" fillId="4" borderId="6" xfId="2" applyNumberFormat="1" applyFont="1" applyBorder="1" applyAlignment="1">
      <alignment horizontal="right" vertical="center"/>
      <protection locked="0"/>
    </xf>
    <xf numFmtId="180" fontId="34" fillId="26" borderId="18" xfId="2" applyNumberFormat="1" applyFont="1" applyFill="1" applyBorder="1" applyAlignment="1">
      <alignment horizontal="right" vertical="center"/>
      <protection locked="0"/>
    </xf>
    <xf numFmtId="180" fontId="34" fillId="4" borderId="18" xfId="2" applyNumberFormat="1" applyFont="1" applyBorder="1" applyAlignment="1">
      <alignment horizontal="right" vertical="center"/>
      <protection locked="0"/>
    </xf>
    <xf numFmtId="4" fontId="6" fillId="10" borderId="5" xfId="22" applyNumberFormat="1" applyFont="1" applyFill="1" applyBorder="1" applyAlignment="1" applyProtection="1">
      <alignment vertical="center" wrapText="1"/>
    </xf>
    <xf numFmtId="4" fontId="6" fillId="10" borderId="22" xfId="22" applyNumberFormat="1" applyFont="1" applyFill="1" applyBorder="1" applyAlignment="1" applyProtection="1">
      <alignment vertical="center" wrapText="1"/>
    </xf>
    <xf numFmtId="179" fontId="6" fillId="10" borderId="5" xfId="2" applyNumberFormat="1" applyFill="1" applyBorder="1" applyAlignment="1" applyProtection="1">
      <alignment horizontal="center" vertical="center"/>
    </xf>
    <xf numFmtId="9" fontId="6" fillId="10" borderId="5" xfId="23" applyFont="1" applyFill="1" applyBorder="1" applyAlignment="1" applyProtection="1">
      <alignment horizontal="center" vertical="center"/>
    </xf>
    <xf numFmtId="9" fontId="6" fillId="10" borderId="5" xfId="2" applyNumberFormat="1" applyFill="1" applyBorder="1" applyAlignment="1" applyProtection="1">
      <alignment horizontal="center" vertical="center"/>
    </xf>
    <xf numFmtId="43" fontId="6" fillId="4" borderId="5" xfId="22" applyFont="1" applyFill="1" applyBorder="1" applyAlignment="1" applyProtection="1">
      <alignment vertical="center"/>
    </xf>
    <xf numFmtId="43" fontId="0" fillId="0" borderId="0" xfId="22" applyFont="1"/>
    <xf numFmtId="178" fontId="35" fillId="15" borderId="0" xfId="22" applyNumberFormat="1" applyFont="1" applyFill="1" applyAlignment="1" applyProtection="1">
      <alignment vertical="center" wrapText="1"/>
      <protection locked="0"/>
    </xf>
    <xf numFmtId="43" fontId="6" fillId="15" borderId="0" xfId="22" applyFont="1" applyFill="1" applyAlignment="1" applyProtection="1">
      <alignment vertical="center" wrapText="1"/>
      <protection locked="0"/>
    </xf>
    <xf numFmtId="43" fontId="6" fillId="15" borderId="0" xfId="22" applyFont="1" applyFill="1" applyAlignment="1" applyProtection="1">
      <alignment vertical="center"/>
      <protection locked="0"/>
    </xf>
    <xf numFmtId="0" fontId="6" fillId="15" borderId="0" xfId="2" applyNumberFormat="1" applyFill="1" applyAlignment="1">
      <alignment vertical="center"/>
      <protection locked="0"/>
    </xf>
    <xf numFmtId="43" fontId="34" fillId="0" borderId="0" xfId="22" applyFont="1" applyAlignment="1" applyProtection="1">
      <alignment vertical="center"/>
      <protection locked="0"/>
    </xf>
    <xf numFmtId="4" fontId="6" fillId="0" borderId="0" xfId="22" applyNumberFormat="1" applyFont="1" applyAlignment="1" applyProtection="1">
      <alignment vertical="center" wrapText="1"/>
      <protection locked="0"/>
    </xf>
    <xf numFmtId="178" fontId="35" fillId="0" borderId="0" xfId="22" applyNumberFormat="1" applyFont="1" applyAlignment="1" applyProtection="1">
      <alignment vertical="center" wrapText="1"/>
      <protection locked="0"/>
    </xf>
    <xf numFmtId="43" fontId="0" fillId="0" borderId="0" xfId="17" applyNumberFormat="1" applyFont="1"/>
    <xf numFmtId="43" fontId="34" fillId="15" borderId="0" xfId="22" applyFont="1" applyFill="1" applyAlignment="1" applyProtection="1">
      <alignment vertical="center"/>
      <protection locked="0"/>
    </xf>
    <xf numFmtId="43" fontId="53" fillId="15" borderId="0" xfId="22" applyFont="1" applyFill="1" applyAlignment="1" applyProtection="1">
      <alignment vertical="center"/>
      <protection locked="0"/>
    </xf>
    <xf numFmtId="0" fontId="34" fillId="15" borderId="0" xfId="2" applyNumberFormat="1" applyFont="1" applyFill="1" applyAlignment="1">
      <alignment vertical="center"/>
      <protection locked="0"/>
    </xf>
    <xf numFmtId="43" fontId="6" fillId="0" borderId="0" xfId="22" applyFont="1" applyAlignment="1" applyProtection="1">
      <alignment vertical="center" wrapText="1"/>
      <protection locked="0"/>
    </xf>
    <xf numFmtId="43" fontId="35" fillId="0" borderId="0" xfId="22" applyFont="1" applyAlignment="1" applyProtection="1">
      <alignment vertical="center"/>
      <protection locked="0"/>
    </xf>
    <xf numFmtId="0" fontId="6" fillId="0" borderId="0" xfId="2" applyNumberFormat="1" applyFill="1" applyAlignment="1">
      <alignment vertical="center"/>
      <protection locked="0"/>
    </xf>
    <xf numFmtId="4" fontId="6" fillId="10" borderId="5" xfId="22" applyNumberFormat="1" applyFont="1" applyFill="1" applyBorder="1" applyAlignment="1" applyProtection="1">
      <alignment vertical="center"/>
    </xf>
    <xf numFmtId="4" fontId="6" fillId="10" borderId="22" xfId="22" applyNumberFormat="1" applyFont="1" applyFill="1" applyBorder="1" applyAlignment="1" applyProtection="1">
      <alignment vertical="center"/>
    </xf>
    <xf numFmtId="0" fontId="6" fillId="0" borderId="6" xfId="26" applyFont="1" applyFill="1" applyBorder="1" applyAlignment="1">
      <alignment vertical="center"/>
    </xf>
    <xf numFmtId="174" fontId="34" fillId="4" borderId="6" xfId="2" applyNumberFormat="1" applyFont="1" applyBorder="1" applyAlignment="1">
      <alignment horizontal="right" vertical="center"/>
      <protection locked="0"/>
    </xf>
    <xf numFmtId="0" fontId="39" fillId="15" borderId="6" xfId="26" applyFill="1" applyBorder="1" applyAlignment="1"/>
    <xf numFmtId="0" fontId="0" fillId="0" borderId="16" xfId="0" applyBorder="1"/>
    <xf numFmtId="0" fontId="0" fillId="0" borderId="17" xfId="0" applyBorder="1"/>
    <xf numFmtId="0" fontId="16" fillId="0" borderId="0" xfId="0" applyFont="1" applyAlignment="1">
      <alignment horizontal="right"/>
    </xf>
    <xf numFmtId="0" fontId="0" fillId="0" borderId="6" xfId="0" applyBorder="1" applyAlignment="1">
      <alignment horizontal="center"/>
    </xf>
    <xf numFmtId="0" fontId="0" fillId="0" borderId="8" xfId="0" applyBorder="1" applyAlignment="1">
      <alignment horizontal="center"/>
    </xf>
    <xf numFmtId="0" fontId="77" fillId="3" borderId="18" xfId="0" applyFont="1" applyFill="1" applyBorder="1" applyAlignment="1">
      <alignment horizontal="center" wrapText="1"/>
    </xf>
    <xf numFmtId="0" fontId="77" fillId="3" borderId="12" xfId="0" applyFont="1" applyFill="1" applyBorder="1" applyAlignment="1">
      <alignment horizontal="center" wrapText="1"/>
    </xf>
    <xf numFmtId="173" fontId="0" fillId="0" borderId="0" xfId="0" applyNumberFormat="1"/>
    <xf numFmtId="0" fontId="0" fillId="15" borderId="0" xfId="0" applyFill="1"/>
    <xf numFmtId="9" fontId="16" fillId="15" borderId="0" xfId="0" applyNumberFormat="1" applyFont="1" applyFill="1" applyAlignment="1">
      <alignment horizontal="center"/>
    </xf>
    <xf numFmtId="0" fontId="16" fillId="27" borderId="0" xfId="0" applyFont="1" applyFill="1"/>
    <xf numFmtId="0" fontId="0" fillId="27" borderId="0" xfId="0" applyFill="1"/>
    <xf numFmtId="0" fontId="35" fillId="27" borderId="0" xfId="0" applyFont="1" applyFill="1"/>
    <xf numFmtId="0" fontId="24" fillId="15" borderId="0" xfId="28" applyFont="1" applyFill="1"/>
    <xf numFmtId="1" fontId="0" fillId="15" borderId="0" xfId="0" applyNumberFormat="1" applyFill="1"/>
    <xf numFmtId="164" fontId="0" fillId="15" borderId="0" xfId="0" applyNumberFormat="1" applyFill="1"/>
    <xf numFmtId="0" fontId="28" fillId="3" borderId="6" xfId="0" applyFont="1" applyFill="1" applyBorder="1" applyAlignment="1">
      <alignment horizontal="center"/>
    </xf>
    <xf numFmtId="0" fontId="28" fillId="3" borderId="6" xfId="67" applyFont="1" applyFill="1" applyBorder="1"/>
    <xf numFmtId="0" fontId="47" fillId="3" borderId="6" xfId="0" applyFont="1" applyFill="1" applyBorder="1"/>
    <xf numFmtId="0" fontId="28" fillId="3" borderId="19" xfId="0" applyFont="1" applyFill="1" applyBorder="1" applyAlignment="1">
      <alignment horizontal="center"/>
    </xf>
    <xf numFmtId="0" fontId="77" fillId="3" borderId="19" xfId="0" applyFont="1" applyFill="1" applyBorder="1" applyAlignment="1">
      <alignment horizontal="center" wrapText="1"/>
    </xf>
    <xf numFmtId="0" fontId="77" fillId="3" borderId="16" xfId="0" applyFont="1" applyFill="1" applyBorder="1" applyAlignment="1">
      <alignment horizontal="center" wrapText="1"/>
    </xf>
    <xf numFmtId="2" fontId="51" fillId="0" borderId="6" xfId="0" applyNumberFormat="1" applyFont="1" applyBorder="1" applyAlignment="1">
      <alignment horizontal="center"/>
    </xf>
    <xf numFmtId="0" fontId="86" fillId="0" borderId="6" xfId="0" applyFont="1" applyBorder="1"/>
    <xf numFmtId="0" fontId="34" fillId="0" borderId="0" xfId="0" applyFont="1" applyAlignment="1">
      <alignment horizontal="right"/>
    </xf>
    <xf numFmtId="4" fontId="16" fillId="0" borderId="0" xfId="22" applyNumberFormat="1" applyFont="1" applyAlignment="1">
      <alignment horizontal="right"/>
    </xf>
    <xf numFmtId="0" fontId="87" fillId="28" borderId="6" xfId="26" applyFont="1" applyFill="1" applyBorder="1"/>
    <xf numFmtId="0" fontId="81" fillId="0" borderId="0" xfId="26" applyFont="1" applyFill="1" applyBorder="1" applyAlignment="1"/>
    <xf numFmtId="0" fontId="81" fillId="0" borderId="0" xfId="26" applyFont="1" applyFill="1"/>
    <xf numFmtId="0" fontId="39" fillId="26" borderId="6" xfId="26" applyFill="1" applyBorder="1"/>
    <xf numFmtId="0" fontId="5" fillId="0" borderId="0" xfId="13" applyProtection="1">
      <protection locked="0"/>
    </xf>
    <xf numFmtId="0" fontId="88" fillId="0" borderId="0" xfId="13" applyFont="1"/>
    <xf numFmtId="4" fontId="35" fillId="4" borderId="5" xfId="22" applyNumberFormat="1" applyFont="1" applyFill="1" applyBorder="1" applyAlignment="1" applyProtection="1">
      <alignment vertical="center" wrapText="1"/>
      <protection locked="0"/>
    </xf>
    <xf numFmtId="4" fontId="11" fillId="15" borderId="0" xfId="10" applyNumberFormat="1" applyFont="1" applyFill="1" applyBorder="1" applyAlignment="1">
      <alignment vertical="center"/>
    </xf>
    <xf numFmtId="4" fontId="6" fillId="4" borderId="5" xfId="22" applyNumberFormat="1" applyFont="1" applyFill="1" applyBorder="1" applyAlignment="1" applyProtection="1">
      <alignment vertical="center" wrapText="1"/>
      <protection locked="0"/>
    </xf>
    <xf numFmtId="4" fontId="35" fillId="4" borderId="21" xfId="22" applyNumberFormat="1" applyFont="1" applyFill="1" applyBorder="1" applyAlignment="1" applyProtection="1">
      <alignment vertical="center" wrapText="1"/>
      <protection locked="0"/>
    </xf>
    <xf numFmtId="4" fontId="6" fillId="4" borderId="21" xfId="22" applyNumberFormat="1" applyFont="1" applyFill="1" applyBorder="1" applyAlignment="1" applyProtection="1">
      <alignment vertical="center"/>
      <protection locked="0"/>
    </xf>
    <xf numFmtId="4" fontId="35" fillId="15" borderId="0" xfId="22" applyNumberFormat="1" applyFont="1" applyFill="1" applyBorder="1" applyAlignment="1" applyProtection="1">
      <alignment vertical="center" wrapText="1"/>
      <protection locked="0"/>
    </xf>
    <xf numFmtId="4" fontId="6" fillId="4" borderId="5" xfId="22" applyNumberFormat="1" applyFont="1" applyFill="1" applyBorder="1" applyAlignment="1" applyProtection="1">
      <alignment vertical="center"/>
      <protection locked="0"/>
    </xf>
    <xf numFmtId="4" fontId="34" fillId="15" borderId="0" xfId="22" applyNumberFormat="1" applyFont="1" applyFill="1" applyAlignment="1">
      <alignment vertical="center" wrapText="1"/>
    </xf>
    <xf numFmtId="4" fontId="6" fillId="4" borderId="22" xfId="22" applyNumberFormat="1" applyFont="1" applyFill="1" applyBorder="1" applyAlignment="1" applyProtection="1">
      <alignment vertical="center" wrapText="1"/>
      <protection locked="0"/>
    </xf>
    <xf numFmtId="0" fontId="35" fillId="0" borderId="0" xfId="0" applyFont="1" applyAlignment="1">
      <alignment horizontal="right"/>
    </xf>
    <xf numFmtId="0" fontId="89" fillId="0" borderId="0" xfId="26" applyFont="1" applyAlignment="1" applyProtection="1">
      <alignment horizontal="right" wrapText="1"/>
    </xf>
    <xf numFmtId="9" fontId="35" fillId="0" borderId="0" xfId="0" applyNumberFormat="1" applyFont="1" applyAlignment="1">
      <alignment horizontal="right"/>
    </xf>
    <xf numFmtId="0" fontId="89" fillId="0" borderId="0" xfId="26" applyFont="1" applyAlignment="1" applyProtection="1">
      <alignment horizontal="right"/>
    </xf>
    <xf numFmtId="0" fontId="41" fillId="10" borderId="6" xfId="26" applyFont="1" applyFill="1" applyBorder="1" applyAlignment="1">
      <alignment vertical="center"/>
    </xf>
    <xf numFmtId="173" fontId="16" fillId="10" borderId="6" xfId="0" applyNumberFormat="1" applyFont="1" applyFill="1" applyBorder="1" applyAlignment="1">
      <alignment horizontal="center" vertical="center"/>
    </xf>
    <xf numFmtId="9" fontId="6" fillId="10" borderId="6" xfId="23" applyFont="1" applyFill="1" applyBorder="1" applyAlignment="1">
      <alignment horizontal="center" vertical="center"/>
    </xf>
    <xf numFmtId="0" fontId="0" fillId="9" borderId="0" xfId="0" applyFill="1" applyAlignment="1">
      <alignment horizontal="left"/>
    </xf>
    <xf numFmtId="9" fontId="0" fillId="10" borderId="6" xfId="23" applyFont="1" applyFill="1" applyBorder="1" applyAlignment="1">
      <alignment horizontal="center" vertical="center"/>
    </xf>
    <xf numFmtId="43" fontId="35" fillId="4" borderId="21" xfId="22" applyFont="1" applyFill="1" applyBorder="1" applyAlignment="1" applyProtection="1">
      <alignment vertical="center"/>
      <protection locked="0"/>
    </xf>
    <xf numFmtId="0" fontId="0" fillId="9" borderId="7" xfId="0" applyFill="1" applyBorder="1" applyAlignment="1">
      <alignment vertical="top"/>
    </xf>
    <xf numFmtId="0" fontId="0" fillId="0" borderId="0" xfId="0" applyAlignment="1">
      <alignment horizontal="left" wrapText="1"/>
    </xf>
    <xf numFmtId="0" fontId="49" fillId="9" borderId="0" xfId="0" applyFont="1" applyFill="1" applyAlignment="1">
      <alignment vertical="top"/>
    </xf>
    <xf numFmtId="0" fontId="59" fillId="9" borderId="0" xfId="0" applyFont="1" applyFill="1" applyAlignment="1">
      <alignment wrapText="1"/>
    </xf>
    <xf numFmtId="171" fontId="0" fillId="0" borderId="0" xfId="0" applyNumberFormat="1"/>
    <xf numFmtId="43" fontId="11" fillId="15" borderId="0" xfId="10" applyNumberFormat="1" applyFont="1" applyFill="1" applyBorder="1" applyAlignment="1">
      <alignment vertical="center"/>
    </xf>
    <xf numFmtId="0" fontId="16" fillId="9" borderId="0" xfId="0" applyFont="1" applyFill="1"/>
    <xf numFmtId="0" fontId="0" fillId="4" borderId="6" xfId="0" applyFill="1" applyBorder="1"/>
    <xf numFmtId="0" fontId="6" fillId="9" borderId="7" xfId="2" applyNumberFormat="1" applyFill="1" applyBorder="1" applyAlignment="1" applyProtection="1">
      <alignment vertical="center"/>
    </xf>
    <xf numFmtId="9" fontId="0" fillId="4" borderId="8" xfId="0" applyNumberFormat="1" applyFill="1" applyBorder="1"/>
    <xf numFmtId="0" fontId="0" fillId="26" borderId="6" xfId="0" applyFill="1" applyBorder="1"/>
    <xf numFmtId="0" fontId="16" fillId="9" borderId="0" xfId="0" applyFont="1" applyFill="1" applyAlignment="1">
      <alignment horizontal="right" wrapText="1"/>
    </xf>
    <xf numFmtId="0" fontId="34" fillId="9" borderId="0" xfId="2" applyNumberFormat="1" applyFont="1" applyFill="1" applyBorder="1" applyAlignment="1" applyProtection="1">
      <alignment horizontal="right" vertical="center" wrapText="1"/>
    </xf>
    <xf numFmtId="0" fontId="0" fillId="9" borderId="7" xfId="0" applyFill="1" applyBorder="1" applyAlignment="1">
      <alignment horizontal="left" vertical="top" wrapText="1"/>
    </xf>
    <xf numFmtId="0" fontId="0" fillId="0" borderId="6" xfId="0" applyBorder="1" applyAlignment="1">
      <alignment horizontal="left"/>
    </xf>
    <xf numFmtId="0" fontId="91" fillId="0" borderId="0" xfId="26" applyFont="1" applyProtection="1"/>
    <xf numFmtId="0" fontId="16" fillId="0" borderId="0" xfId="0" applyFont="1" applyAlignment="1">
      <alignment wrapText="1"/>
    </xf>
    <xf numFmtId="0" fontId="0" fillId="9" borderId="0" xfId="0" applyFill="1" applyAlignment="1">
      <alignment horizontal="right"/>
    </xf>
    <xf numFmtId="0" fontId="37" fillId="9" borderId="0" xfId="0" applyFont="1" applyFill="1" applyAlignment="1">
      <alignment horizontal="right" vertical="top" wrapText="1"/>
    </xf>
    <xf numFmtId="177" fontId="0" fillId="9" borderId="0" xfId="0" quotePrefix="1" applyNumberFormat="1" applyFill="1" applyAlignment="1">
      <alignment horizontal="right"/>
    </xf>
    <xf numFmtId="177" fontId="0" fillId="15" borderId="12" xfId="0" quotePrefix="1" applyNumberFormat="1" applyFill="1" applyBorder="1" applyAlignment="1">
      <alignment horizontal="right"/>
    </xf>
    <xf numFmtId="171" fontId="34" fillId="4" borderId="6" xfId="2" applyNumberFormat="1" applyFont="1" applyBorder="1" applyAlignment="1">
      <alignment horizontal="right" vertical="center"/>
      <protection locked="0"/>
    </xf>
    <xf numFmtId="0" fontId="34" fillId="9" borderId="0" xfId="2" applyNumberFormat="1" applyFont="1" applyFill="1" applyAlignment="1" applyProtection="1">
      <alignment horizontal="right" vertical="center"/>
    </xf>
    <xf numFmtId="9" fontId="62" fillId="10" borderId="6" xfId="2" applyNumberFormat="1" applyFont="1" applyFill="1" applyBorder="1" applyAlignment="1" applyProtection="1">
      <alignment horizontal="right" vertical="center"/>
    </xf>
    <xf numFmtId="0" fontId="16" fillId="9" borderId="0" xfId="0" applyFont="1" applyFill="1" applyAlignment="1">
      <alignment horizontal="right" vertical="top" wrapText="1"/>
    </xf>
    <xf numFmtId="0" fontId="39" fillId="9" borderId="0" xfId="26" quotePrefix="1" applyFill="1" applyAlignment="1" applyProtection="1">
      <alignment horizontal="right"/>
    </xf>
    <xf numFmtId="0" fontId="39" fillId="9" borderId="0" xfId="26" applyFill="1" applyAlignment="1" applyProtection="1">
      <alignment horizontal="right"/>
    </xf>
    <xf numFmtId="0" fontId="0" fillId="0" borderId="0" xfId="0" applyAlignment="1">
      <alignment horizontal="right"/>
    </xf>
    <xf numFmtId="0" fontId="28" fillId="3" borderId="6" xfId="0" applyFont="1" applyFill="1" applyBorder="1" applyAlignment="1">
      <alignment horizontal="center" wrapText="1"/>
    </xf>
    <xf numFmtId="0" fontId="0" fillId="9" borderId="15" xfId="0" applyFill="1" applyBorder="1" applyAlignment="1">
      <alignment horizontal="left" vertical="top"/>
    </xf>
    <xf numFmtId="0" fontId="34" fillId="9" borderId="12" xfId="2" applyNumberFormat="1" applyFont="1" applyFill="1" applyBorder="1" applyAlignment="1">
      <alignment horizontal="right" vertical="center"/>
      <protection locked="0"/>
    </xf>
    <xf numFmtId="0" fontId="0" fillId="15" borderId="14" xfId="0" applyFill="1" applyBorder="1"/>
    <xf numFmtId="0" fontId="34" fillId="9" borderId="9" xfId="2" applyNumberFormat="1" applyFont="1" applyFill="1" applyBorder="1" applyAlignment="1" applyProtection="1">
      <alignment vertical="center"/>
    </xf>
    <xf numFmtId="0" fontId="71" fillId="9" borderId="0" xfId="0" applyFont="1" applyFill="1" applyAlignment="1">
      <alignment vertical="center" wrapText="1"/>
    </xf>
    <xf numFmtId="0" fontId="56" fillId="9" borderId="0" xfId="0" applyFont="1" applyFill="1"/>
    <xf numFmtId="9" fontId="56" fillId="9" borderId="0" xfId="0" applyNumberFormat="1" applyFont="1" applyFill="1"/>
    <xf numFmtId="0" fontId="87" fillId="28" borderId="6" xfId="26" applyFont="1" applyFill="1" applyBorder="1" applyAlignment="1"/>
    <xf numFmtId="171" fontId="62" fillId="10" borderId="6" xfId="2" applyNumberFormat="1" applyFont="1" applyFill="1" applyBorder="1" applyAlignment="1" applyProtection="1">
      <alignment horizontal="right" vertical="center"/>
    </xf>
    <xf numFmtId="4" fontId="6" fillId="10" borderId="22" xfId="22" applyNumberFormat="1" applyFont="1" applyFill="1" applyBorder="1" applyAlignment="1">
      <alignment vertical="center" wrapText="1"/>
    </xf>
    <xf numFmtId="0" fontId="39" fillId="0" borderId="6" xfId="26" applyFill="1" applyBorder="1"/>
    <xf numFmtId="0" fontId="0" fillId="9" borderId="6" xfId="0" applyFill="1" applyBorder="1" applyAlignment="1">
      <alignment horizontal="left"/>
    </xf>
    <xf numFmtId="4" fontId="34" fillId="0" borderId="0" xfId="22" applyNumberFormat="1" applyFont="1" applyAlignment="1">
      <alignment horizontal="right" wrapText="1"/>
    </xf>
    <xf numFmtId="4" fontId="34" fillId="0" borderId="0" xfId="22" applyNumberFormat="1" applyFont="1" applyFill="1" applyBorder="1" applyAlignment="1" applyProtection="1">
      <alignment horizontal="right" vertical="center" wrapText="1"/>
      <protection locked="0"/>
    </xf>
    <xf numFmtId="0" fontId="16" fillId="0" borderId="0" xfId="17" applyFont="1" applyAlignment="1">
      <alignment horizontal="right"/>
    </xf>
    <xf numFmtId="0" fontId="16" fillId="19" borderId="0" xfId="0" applyFont="1" applyFill="1"/>
    <xf numFmtId="0" fontId="16" fillId="18" borderId="0" xfId="0" applyFont="1" applyFill="1"/>
    <xf numFmtId="0" fontId="49" fillId="9" borderId="14" xfId="0" applyFont="1" applyFill="1" applyBorder="1" applyAlignment="1">
      <alignment vertical="top"/>
    </xf>
    <xf numFmtId="0" fontId="77" fillId="0" borderId="0" xfId="0" applyFont="1" applyAlignment="1">
      <alignment horizontal="center" wrapText="1"/>
    </xf>
    <xf numFmtId="173" fontId="75" fillId="0" borderId="0" xfId="0" applyNumberFormat="1" applyFont="1" applyAlignment="1">
      <alignment horizontal="center" vertical="center"/>
    </xf>
    <xf numFmtId="0" fontId="35" fillId="9" borderId="0" xfId="0" applyFont="1" applyFill="1"/>
    <xf numFmtId="0" fontId="35" fillId="9" borderId="0" xfId="0" applyFont="1" applyFill="1" applyAlignment="1">
      <alignment horizontal="left" vertical="top" wrapText="1"/>
    </xf>
    <xf numFmtId="0" fontId="93" fillId="9" borderId="0" xfId="0" applyFont="1" applyFill="1" applyAlignment="1">
      <alignment horizontal="left" vertical="top"/>
    </xf>
    <xf numFmtId="0" fontId="6" fillId="0" borderId="0" xfId="0" applyFont="1" applyAlignment="1">
      <alignment horizontal="right"/>
    </xf>
    <xf numFmtId="0" fontId="6" fillId="0" borderId="0" xfId="0" applyFont="1" applyAlignment="1">
      <alignment horizontal="left"/>
    </xf>
    <xf numFmtId="4" fontId="6" fillId="10" borderId="22" xfId="22" applyNumberFormat="1" applyFont="1" applyFill="1" applyBorder="1" applyAlignment="1">
      <alignment vertical="center"/>
    </xf>
    <xf numFmtId="0" fontId="0" fillId="9" borderId="7" xfId="0" applyFill="1" applyBorder="1" applyAlignment="1">
      <alignment vertical="top" wrapText="1"/>
    </xf>
    <xf numFmtId="0" fontId="49" fillId="9" borderId="14" xfId="0" applyFont="1" applyFill="1" applyBorder="1" applyAlignment="1">
      <alignment vertical="top" wrapText="1"/>
    </xf>
    <xf numFmtId="4" fontId="34" fillId="0" borderId="0" xfId="17" applyNumberFormat="1" applyFont="1" applyAlignment="1">
      <alignment horizontal="right"/>
    </xf>
    <xf numFmtId="173" fontId="0" fillId="4" borderId="6" xfId="0" applyNumberFormat="1" applyFill="1" applyBorder="1" applyAlignment="1">
      <alignment horizontal="right"/>
    </xf>
    <xf numFmtId="0" fontId="23" fillId="0" borderId="1" xfId="5" applyFont="1"/>
    <xf numFmtId="0" fontId="22" fillId="0" borderId="5" xfId="17" applyFont="1" applyBorder="1" applyAlignment="1">
      <alignment horizontal="left"/>
    </xf>
    <xf numFmtId="0" fontId="19" fillId="0" borderId="0" xfId="19" applyFont="1"/>
    <xf numFmtId="0" fontId="20" fillId="0" borderId="0" xfId="18" applyFont="1" applyAlignment="1">
      <alignment vertical="top"/>
    </xf>
    <xf numFmtId="165" fontId="21" fillId="0" borderId="0" xfId="18" applyNumberFormat="1" applyFont="1" applyAlignment="1">
      <alignment vertical="top"/>
    </xf>
    <xf numFmtId="0" fontId="23" fillId="0" borderId="1" xfId="5" applyFont="1" applyAlignment="1">
      <alignment horizontal="center" wrapText="1"/>
    </xf>
    <xf numFmtId="0" fontId="24" fillId="0" borderId="0" xfId="18" applyFont="1" applyAlignment="1">
      <alignment vertical="top"/>
    </xf>
    <xf numFmtId="0" fontId="25" fillId="0" borderId="5" xfId="18" applyFont="1" applyBorder="1" applyAlignment="1">
      <alignment vertical="top"/>
    </xf>
    <xf numFmtId="0" fontId="25" fillId="0" borderId="5" xfId="18" applyFont="1" applyBorder="1" applyAlignment="1">
      <alignment horizontal="center" vertical="top"/>
    </xf>
    <xf numFmtId="4" fontId="25" fillId="0" borderId="0" xfId="18" applyNumberFormat="1" applyFont="1" applyAlignment="1">
      <alignment vertical="top"/>
    </xf>
    <xf numFmtId="166" fontId="25" fillId="0" borderId="5" xfId="18" applyNumberFormat="1" applyFont="1" applyBorder="1" applyAlignment="1">
      <alignment horizontal="center" vertical="top"/>
    </xf>
    <xf numFmtId="167" fontId="25" fillId="0" borderId="0" xfId="18" applyNumberFormat="1" applyFont="1" applyAlignment="1">
      <alignment vertical="top"/>
    </xf>
    <xf numFmtId="3" fontId="25" fillId="0" borderId="5" xfId="18" applyNumberFormat="1" applyFont="1" applyBorder="1" applyAlignment="1">
      <alignment horizontal="center" vertical="top"/>
    </xf>
    <xf numFmtId="168" fontId="24" fillId="0" borderId="0" xfId="18" applyNumberFormat="1" applyFont="1" applyAlignment="1">
      <alignment vertical="top"/>
    </xf>
    <xf numFmtId="165" fontId="25" fillId="0" borderId="5" xfId="18" applyNumberFormat="1" applyFont="1" applyBorder="1" applyAlignment="1">
      <alignment horizontal="center" vertical="top"/>
    </xf>
    <xf numFmtId="4" fontId="24" fillId="0" borderId="0" xfId="18" applyNumberFormat="1" applyFont="1" applyAlignment="1">
      <alignment vertical="top"/>
    </xf>
    <xf numFmtId="0" fontId="25" fillId="0" borderId="0" xfId="18" applyFont="1" applyAlignment="1">
      <alignment vertical="top"/>
    </xf>
    <xf numFmtId="165" fontId="25" fillId="0" borderId="0" xfId="18" applyNumberFormat="1" applyFont="1" applyAlignment="1">
      <alignment vertical="top"/>
    </xf>
    <xf numFmtId="0" fontId="26" fillId="0" borderId="0" xfId="18" applyFont="1" applyAlignment="1">
      <alignment vertical="top"/>
    </xf>
    <xf numFmtId="0" fontId="27" fillId="0" borderId="0" xfId="18" applyFont="1" applyAlignment="1">
      <alignment vertical="top"/>
    </xf>
    <xf numFmtId="165" fontId="27" fillId="0" borderId="0" xfId="18" applyNumberFormat="1" applyFont="1" applyAlignment="1">
      <alignment vertical="top"/>
    </xf>
    <xf numFmtId="169" fontId="25" fillId="0" borderId="5" xfId="18" applyNumberFormat="1" applyFont="1" applyBorder="1" applyAlignment="1">
      <alignment horizontal="center" vertical="top"/>
    </xf>
    <xf numFmtId="164" fontId="25" fillId="0" borderId="5" xfId="18" applyNumberFormat="1" applyFont="1" applyBorder="1" applyAlignment="1">
      <alignment horizontal="center" vertical="top"/>
    </xf>
    <xf numFmtId="170" fontId="24" fillId="0" borderId="5" xfId="18" applyNumberFormat="1" applyFont="1" applyBorder="1" applyAlignment="1">
      <alignment horizontal="center" vertical="top"/>
    </xf>
    <xf numFmtId="4" fontId="25" fillId="0" borderId="5" xfId="18" applyNumberFormat="1" applyFont="1" applyBorder="1" applyAlignment="1">
      <alignment horizontal="center" vertical="top"/>
    </xf>
    <xf numFmtId="170" fontId="25" fillId="0" borderId="5" xfId="18" applyNumberFormat="1" applyFont="1" applyBorder="1" applyAlignment="1">
      <alignment horizontal="center" vertical="top"/>
    </xf>
    <xf numFmtId="171" fontId="25" fillId="0" borderId="5" xfId="18" applyNumberFormat="1" applyFont="1" applyBorder="1" applyAlignment="1">
      <alignment horizontal="center" vertical="top"/>
    </xf>
    <xf numFmtId="1" fontId="25" fillId="0" borderId="5" xfId="18" applyNumberFormat="1" applyFont="1" applyBorder="1" applyAlignment="1">
      <alignment horizontal="center" vertical="top"/>
    </xf>
    <xf numFmtId="172" fontId="25" fillId="0" borderId="5" xfId="18" applyNumberFormat="1" applyFont="1" applyBorder="1" applyAlignment="1">
      <alignment horizontal="center" vertical="top"/>
    </xf>
    <xf numFmtId="170" fontId="28" fillId="0" borderId="5" xfId="19" applyNumberFormat="1" applyFont="1" applyBorder="1" applyAlignment="1">
      <alignment horizontal="center" vertical="top"/>
    </xf>
    <xf numFmtId="169" fontId="24" fillId="0" borderId="5" xfId="18" applyNumberFormat="1" applyFont="1" applyBorder="1" applyAlignment="1">
      <alignment horizontal="center" vertical="top"/>
    </xf>
    <xf numFmtId="166" fontId="24" fillId="0" borderId="0" xfId="18" applyNumberFormat="1" applyFont="1" applyAlignment="1">
      <alignment vertical="top"/>
    </xf>
    <xf numFmtId="0" fontId="28" fillId="0" borderId="5" xfId="19" applyFont="1" applyBorder="1" applyAlignment="1">
      <alignment horizontal="center" vertical="top"/>
    </xf>
    <xf numFmtId="173" fontId="25" fillId="0" borderId="5" xfId="18" applyNumberFormat="1" applyFont="1" applyBorder="1" applyAlignment="1">
      <alignment horizontal="center" vertical="top"/>
    </xf>
    <xf numFmtId="174" fontId="25" fillId="0" borderId="5" xfId="18" applyNumberFormat="1" applyFont="1" applyBorder="1" applyAlignment="1">
      <alignment horizontal="center" vertical="top"/>
    </xf>
    <xf numFmtId="2" fontId="25" fillId="0" borderId="5" xfId="18" applyNumberFormat="1" applyFont="1" applyBorder="1" applyAlignment="1">
      <alignment horizontal="center" vertical="top"/>
    </xf>
    <xf numFmtId="166" fontId="29" fillId="0" borderId="5" xfId="19" applyNumberFormat="1" applyFont="1" applyBorder="1" applyAlignment="1">
      <alignment horizontal="center" vertical="top"/>
    </xf>
    <xf numFmtId="175" fontId="25" fillId="0" borderId="5" xfId="18" applyNumberFormat="1" applyFont="1" applyBorder="1" applyAlignment="1">
      <alignment horizontal="center" vertical="top"/>
    </xf>
    <xf numFmtId="0" fontId="24" fillId="0" borderId="5" xfId="18" applyFont="1" applyBorder="1" applyAlignment="1">
      <alignment vertical="top"/>
    </xf>
    <xf numFmtId="0" fontId="94" fillId="0" borderId="0" xfId="17" applyFont="1"/>
    <xf numFmtId="173" fontId="16" fillId="10" borderId="6" xfId="0" applyNumberFormat="1" applyFont="1" applyFill="1" applyBorder="1" applyAlignment="1">
      <alignment horizontal="right"/>
    </xf>
    <xf numFmtId="0" fontId="87" fillId="21" borderId="6" xfId="26" applyFont="1" applyFill="1" applyBorder="1" applyAlignment="1"/>
    <xf numFmtId="0" fontId="87" fillId="22" borderId="6" xfId="26" applyFont="1" applyFill="1" applyBorder="1" applyAlignment="1"/>
    <xf numFmtId="0" fontId="39" fillId="23" borderId="6" xfId="26" applyFill="1" applyBorder="1"/>
    <xf numFmtId="0" fontId="39" fillId="23" borderId="6" xfId="26" applyFill="1" applyBorder="1" applyAlignment="1"/>
    <xf numFmtId="0" fontId="39" fillId="24" borderId="6" xfId="26" applyFill="1" applyBorder="1"/>
    <xf numFmtId="0" fontId="39" fillId="24" borderId="6" xfId="26" applyFill="1" applyBorder="1" applyAlignment="1"/>
    <xf numFmtId="0" fontId="39" fillId="18" borderId="6" xfId="26" applyFill="1" applyBorder="1" applyAlignment="1"/>
    <xf numFmtId="0" fontId="39" fillId="18" borderId="6" xfId="26" applyFill="1" applyBorder="1"/>
    <xf numFmtId="0" fontId="39" fillId="25" borderId="6" xfId="26" applyFill="1" applyBorder="1"/>
    <xf numFmtId="0" fontId="35" fillId="19" borderId="0" xfId="0" applyFont="1" applyFill="1" applyAlignment="1">
      <alignment vertical="center"/>
    </xf>
    <xf numFmtId="0" fontId="0" fillId="19" borderId="0" xfId="0" applyFill="1"/>
    <xf numFmtId="0" fontId="35" fillId="18" borderId="0" xfId="0" applyFont="1" applyFill="1" applyAlignment="1">
      <alignment vertical="center"/>
    </xf>
    <xf numFmtId="0" fontId="0" fillId="18" borderId="0" xfId="0" applyFill="1"/>
    <xf numFmtId="0" fontId="35" fillId="27" borderId="0" xfId="0" applyFont="1" applyFill="1" applyAlignment="1">
      <alignment vertical="center"/>
    </xf>
    <xf numFmtId="0" fontId="35" fillId="15" borderId="0" xfId="0" applyFont="1" applyFill="1" applyAlignment="1">
      <alignment vertical="center"/>
    </xf>
    <xf numFmtId="0" fontId="34" fillId="4" borderId="6" xfId="2" applyNumberFormat="1" applyFont="1" applyBorder="1" applyAlignment="1">
      <alignment horizontal="right" vertical="center" wrapText="1"/>
      <protection locked="0"/>
    </xf>
    <xf numFmtId="0" fontId="49" fillId="9" borderId="17" xfId="0" applyFont="1" applyFill="1" applyBorder="1" applyAlignment="1">
      <alignment vertical="top" wrapText="1"/>
    </xf>
    <xf numFmtId="0" fontId="0" fillId="10" borderId="6" xfId="0" applyFill="1" applyBorder="1" applyAlignment="1">
      <alignment horizontal="right" vertical="center"/>
    </xf>
    <xf numFmtId="173" fontId="0" fillId="10" borderId="6" xfId="0" applyNumberFormat="1" applyFill="1" applyBorder="1" applyAlignment="1">
      <alignment horizontal="right" vertical="center"/>
    </xf>
    <xf numFmtId="9" fontId="0" fillId="10" borderId="6" xfId="0" applyNumberFormat="1" applyFill="1" applyBorder="1" applyAlignment="1">
      <alignment horizontal="right" vertical="center"/>
    </xf>
    <xf numFmtId="174" fontId="0" fillId="10" borderId="6" xfId="0" applyNumberFormat="1" applyFill="1" applyBorder="1" applyAlignment="1">
      <alignment horizontal="right" vertical="center"/>
    </xf>
    <xf numFmtId="0" fontId="16" fillId="10" borderId="6" xfId="0" applyFont="1" applyFill="1" applyBorder="1" applyAlignment="1">
      <alignment horizontal="right" vertical="center"/>
    </xf>
    <xf numFmtId="174" fontId="34" fillId="10" borderId="6" xfId="2" applyNumberFormat="1" applyFont="1" applyFill="1" applyBorder="1" applyAlignment="1" applyProtection="1">
      <alignment horizontal="right" vertical="center"/>
    </xf>
    <xf numFmtId="0" fontId="28" fillId="0" borderId="0" xfId="67" applyFont="1" applyFill="1" applyBorder="1" applyAlignment="1"/>
    <xf numFmtId="0" fontId="28" fillId="0" borderId="0" xfId="67" applyFont="1" applyFill="1"/>
    <xf numFmtId="168" fontId="0" fillId="0" borderId="0" xfId="0" applyNumberFormat="1"/>
    <xf numFmtId="4" fontId="51" fillId="0" borderId="6" xfId="0" applyNumberFormat="1" applyFont="1" applyBorder="1" applyAlignment="1">
      <alignment horizontal="center"/>
    </xf>
    <xf numFmtId="0" fontId="56" fillId="0" borderId="0" xfId="0" applyFont="1"/>
    <xf numFmtId="9" fontId="62" fillId="10" borderId="6" xfId="2" applyNumberFormat="1" applyFont="1" applyFill="1" applyBorder="1" applyAlignment="1">
      <alignment horizontal="right" vertical="center"/>
      <protection locked="0"/>
    </xf>
    <xf numFmtId="0" fontId="57" fillId="9" borderId="0" xfId="0" applyFont="1" applyFill="1" applyAlignment="1">
      <alignment vertical="top" wrapText="1"/>
    </xf>
    <xf numFmtId="0" fontId="34" fillId="9" borderId="14" xfId="2" quotePrefix="1" applyNumberFormat="1" applyFont="1" applyFill="1" applyBorder="1" applyAlignment="1" applyProtection="1">
      <alignment vertical="center"/>
    </xf>
    <xf numFmtId="0" fontId="81" fillId="29" borderId="6" xfId="26" applyFont="1" applyFill="1" applyBorder="1" applyAlignment="1"/>
    <xf numFmtId="0" fontId="100" fillId="28" borderId="6" xfId="26" applyFont="1" applyFill="1" applyBorder="1" applyAlignment="1" applyProtection="1">
      <alignment horizontal="center" wrapText="1"/>
    </xf>
    <xf numFmtId="0" fontId="101" fillId="11" borderId="6" xfId="26" applyFont="1" applyFill="1" applyBorder="1" applyAlignment="1" applyProtection="1">
      <alignment horizontal="center" wrapText="1"/>
    </xf>
    <xf numFmtId="0" fontId="79" fillId="0" borderId="23" xfId="0" applyFont="1" applyBorder="1" applyAlignment="1">
      <alignment horizontal="center"/>
    </xf>
    <xf numFmtId="9" fontId="0" fillId="0" borderId="0" xfId="0" applyNumberFormat="1"/>
    <xf numFmtId="43" fontId="9" fillId="2" borderId="1" xfId="4" applyNumberFormat="1" applyAlignment="1">
      <alignment wrapText="1"/>
    </xf>
    <xf numFmtId="43" fontId="11" fillId="0" borderId="1" xfId="5" applyNumberFormat="1" applyAlignment="1">
      <alignment wrapText="1"/>
    </xf>
    <xf numFmtId="43" fontId="14" fillId="9" borderId="0" xfId="17" applyNumberFormat="1" applyFill="1"/>
    <xf numFmtId="43" fontId="11" fillId="9" borderId="1" xfId="5" applyNumberFormat="1" applyFill="1" applyAlignment="1">
      <alignment wrapText="1"/>
    </xf>
    <xf numFmtId="43" fontId="0" fillId="9" borderId="0" xfId="17" applyNumberFormat="1" applyFont="1" applyFill="1"/>
    <xf numFmtId="2" fontId="0" fillId="0" borderId="0" xfId="0" applyNumberFormat="1"/>
    <xf numFmtId="9" fontId="35" fillId="4" borderId="5" xfId="23" applyFont="1" applyFill="1" applyBorder="1" applyAlignment="1" applyProtection="1">
      <alignment vertical="center"/>
      <protection locked="0"/>
    </xf>
    <xf numFmtId="9" fontId="6" fillId="4" borderId="5" xfId="23" applyFont="1" applyFill="1" applyBorder="1" applyAlignment="1" applyProtection="1">
      <alignment vertical="center"/>
      <protection locked="0"/>
    </xf>
    <xf numFmtId="178" fontId="6" fillId="4" borderId="5" xfId="22" applyNumberFormat="1" applyFont="1" applyFill="1" applyBorder="1" applyAlignment="1" applyProtection="1">
      <alignment vertical="center" wrapText="1"/>
      <protection locked="0"/>
    </xf>
    <xf numFmtId="0" fontId="34" fillId="15" borderId="0" xfId="10" applyFont="1" applyFill="1" applyBorder="1" applyAlignment="1">
      <alignment vertical="center"/>
    </xf>
    <xf numFmtId="176" fontId="6" fillId="4" borderId="5" xfId="22" applyNumberFormat="1" applyFont="1" applyFill="1" applyBorder="1" applyAlignment="1" applyProtection="1">
      <alignment vertical="center"/>
      <protection locked="0"/>
    </xf>
    <xf numFmtId="178" fontId="6" fillId="0" borderId="0" xfId="22" applyNumberFormat="1" applyFont="1" applyFill="1" applyBorder="1" applyAlignment="1" applyProtection="1">
      <alignment vertical="center" wrapText="1"/>
      <protection locked="0"/>
    </xf>
    <xf numFmtId="178" fontId="6" fillId="0" borderId="0" xfId="22" applyNumberFormat="1" applyFont="1" applyAlignment="1" applyProtection="1">
      <alignment vertical="center" wrapText="1"/>
      <protection locked="0"/>
    </xf>
    <xf numFmtId="181" fontId="6" fillId="4" borderId="5" xfId="22" applyNumberFormat="1" applyFont="1" applyFill="1" applyBorder="1" applyAlignment="1" applyProtection="1">
      <alignment vertical="center"/>
      <protection locked="0"/>
    </xf>
    <xf numFmtId="178" fontId="6" fillId="15" borderId="0" xfId="22" applyNumberFormat="1" applyFont="1" applyFill="1" applyBorder="1" applyAlignment="1" applyProtection="1">
      <alignment vertical="center" wrapText="1"/>
      <protection locked="0"/>
    </xf>
    <xf numFmtId="0" fontId="29" fillId="0" borderId="0" xfId="0" applyFont="1"/>
    <xf numFmtId="171" fontId="34" fillId="4" borderId="18" xfId="2" applyNumberFormat="1" applyFont="1" applyBorder="1" applyAlignment="1">
      <alignment horizontal="right" vertical="center"/>
      <protection locked="0"/>
    </xf>
    <xf numFmtId="0" fontId="34" fillId="0" borderId="14" xfId="2" applyNumberFormat="1" applyFont="1" applyFill="1" applyBorder="1" applyAlignment="1" applyProtection="1">
      <alignment vertical="center"/>
    </xf>
    <xf numFmtId="0" fontId="0" fillId="0" borderId="7" xfId="0" applyBorder="1" applyAlignment="1">
      <alignment horizontal="left"/>
    </xf>
    <xf numFmtId="4" fontId="34" fillId="0" borderId="0" xfId="22" applyNumberFormat="1" applyFont="1" applyFill="1" applyBorder="1" applyAlignment="1" applyProtection="1">
      <alignment horizontal="right"/>
      <protection locked="0"/>
    </xf>
    <xf numFmtId="0" fontId="35" fillId="0" borderId="0" xfId="0" applyFont="1" applyAlignment="1">
      <alignment vertical="center"/>
    </xf>
    <xf numFmtId="4" fontId="6" fillId="15" borderId="0" xfId="22" applyNumberFormat="1" applyFont="1" applyFill="1" applyBorder="1" applyAlignment="1" applyProtection="1">
      <alignment vertical="center" wrapText="1"/>
      <protection locked="0"/>
    </xf>
    <xf numFmtId="4" fontId="6" fillId="0" borderId="24" xfId="22" applyNumberFormat="1" applyFont="1" applyFill="1" applyBorder="1" applyAlignment="1" applyProtection="1">
      <alignment vertical="center" wrapText="1"/>
      <protection locked="0"/>
    </xf>
    <xf numFmtId="4" fontId="35" fillId="0" borderId="0" xfId="22" applyNumberFormat="1" applyFont="1" applyAlignment="1">
      <alignment vertical="center" wrapText="1"/>
    </xf>
    <xf numFmtId="4" fontId="0" fillId="0" borderId="0" xfId="0" applyNumberFormat="1" applyAlignment="1">
      <alignment wrapText="1"/>
    </xf>
    <xf numFmtId="4" fontId="34" fillId="15" borderId="0" xfId="17" applyNumberFormat="1" applyFont="1" applyFill="1" applyAlignment="1">
      <alignment wrapText="1"/>
    </xf>
    <xf numFmtId="4" fontId="6" fillId="0" borderId="25" xfId="22" applyNumberFormat="1" applyFont="1" applyFill="1" applyBorder="1" applyAlignment="1" applyProtection="1">
      <alignment vertical="center" wrapText="1"/>
      <protection locked="0"/>
    </xf>
    <xf numFmtId="4" fontId="35" fillId="0" borderId="0" xfId="22" applyNumberFormat="1" applyFont="1" applyAlignment="1" applyProtection="1">
      <alignment vertical="center" wrapText="1"/>
      <protection locked="0"/>
    </xf>
    <xf numFmtId="4" fontId="35" fillId="4" borderId="22" xfId="22" applyNumberFormat="1" applyFont="1" applyFill="1" applyBorder="1" applyAlignment="1" applyProtection="1">
      <alignment vertical="center"/>
      <protection locked="0"/>
    </xf>
    <xf numFmtId="4" fontId="35" fillId="4" borderId="5" xfId="22" applyNumberFormat="1" applyFont="1" applyFill="1" applyBorder="1" applyAlignment="1" applyProtection="1">
      <alignment horizontal="right" vertical="center" wrapText="1"/>
      <protection locked="0"/>
    </xf>
    <xf numFmtId="4" fontId="16" fillId="0" borderId="0" xfId="17" applyNumberFormat="1" applyFont="1" applyAlignment="1">
      <alignment horizontal="right"/>
    </xf>
    <xf numFmtId="4" fontId="53" fillId="15" borderId="0" xfId="17" applyNumberFormat="1" applyFont="1" applyFill="1" applyAlignment="1">
      <alignment wrapText="1"/>
    </xf>
    <xf numFmtId="4" fontId="35" fillId="15" borderId="0" xfId="22" applyNumberFormat="1" applyFont="1" applyFill="1" applyAlignment="1" applyProtection="1">
      <alignment vertical="center" wrapText="1"/>
      <protection locked="0"/>
    </xf>
    <xf numFmtId="4" fontId="6" fillId="15" borderId="0" xfId="22" applyNumberFormat="1" applyFont="1" applyFill="1" applyAlignment="1" applyProtection="1">
      <alignment vertical="center" wrapText="1"/>
      <protection locked="0"/>
    </xf>
    <xf numFmtId="4" fontId="35" fillId="9" borderId="5" xfId="22" applyNumberFormat="1" applyFont="1" applyFill="1" applyBorder="1" applyAlignment="1" applyProtection="1">
      <alignment vertical="center"/>
      <protection locked="0"/>
    </xf>
    <xf numFmtId="4" fontId="6" fillId="9" borderId="5" xfId="22" applyNumberFormat="1" applyFont="1" applyFill="1" applyBorder="1" applyAlignment="1" applyProtection="1">
      <alignment vertical="center"/>
      <protection locked="0"/>
    </xf>
    <xf numFmtId="4" fontId="34" fillId="15" borderId="0" xfId="22" applyNumberFormat="1" applyFont="1" applyFill="1" applyAlignment="1" applyProtection="1">
      <alignment vertical="center" wrapText="1"/>
      <protection locked="0"/>
    </xf>
    <xf numFmtId="4" fontId="34" fillId="15" borderId="0" xfId="22" applyNumberFormat="1" applyFont="1" applyFill="1" applyBorder="1" applyAlignment="1" applyProtection="1">
      <alignment vertical="center" wrapText="1"/>
      <protection locked="0"/>
    </xf>
    <xf numFmtId="4" fontId="34" fillId="15" borderId="0" xfId="10" applyNumberFormat="1" applyFont="1" applyFill="1" applyBorder="1" applyAlignment="1">
      <alignment vertical="center"/>
    </xf>
    <xf numFmtId="4" fontId="53" fillId="15" borderId="0" xfId="22" applyNumberFormat="1" applyFont="1" applyFill="1" applyAlignment="1" applyProtection="1">
      <alignment vertical="center" wrapText="1"/>
      <protection locked="0"/>
    </xf>
    <xf numFmtId="4" fontId="35" fillId="4" borderId="21" xfId="22" applyNumberFormat="1" applyFont="1" applyFill="1" applyBorder="1" applyAlignment="1" applyProtection="1">
      <alignment vertical="center"/>
      <protection locked="0"/>
    </xf>
    <xf numFmtId="4" fontId="6" fillId="0" borderId="0" xfId="22" applyNumberFormat="1" applyFont="1" applyAlignment="1" applyProtection="1">
      <alignment vertical="center"/>
      <protection locked="0"/>
    </xf>
    <xf numFmtId="4" fontId="6" fillId="15" borderId="0" xfId="22" applyNumberFormat="1" applyFont="1" applyFill="1" applyBorder="1" applyAlignment="1" applyProtection="1">
      <alignment vertical="center"/>
      <protection locked="0"/>
    </xf>
    <xf numFmtId="4" fontId="34" fillId="0" borderId="0" xfId="17" applyNumberFormat="1" applyFont="1"/>
    <xf numFmtId="4" fontId="34" fillId="15" borderId="0" xfId="17" applyNumberFormat="1" applyFont="1" applyFill="1" applyAlignment="1">
      <alignment vertical="center" wrapText="1"/>
    </xf>
    <xf numFmtId="4" fontId="6" fillId="4" borderId="22" xfId="22" applyNumberFormat="1" applyFont="1" applyFill="1" applyBorder="1" applyAlignment="1" applyProtection="1">
      <alignment vertical="center"/>
      <protection locked="0"/>
    </xf>
    <xf numFmtId="4" fontId="6" fillId="4" borderId="5" xfId="23" applyNumberFormat="1" applyFont="1" applyFill="1" applyBorder="1" applyAlignment="1" applyProtection="1">
      <alignment vertical="center"/>
      <protection locked="0"/>
    </xf>
    <xf numFmtId="4" fontId="14" fillId="9" borderId="0" xfId="17" applyNumberFormat="1" applyFill="1"/>
    <xf numFmtId="4" fontId="6" fillId="0" borderId="0" xfId="2" applyNumberFormat="1" applyFill="1" applyBorder="1" applyAlignment="1">
      <alignment vertical="center"/>
      <protection locked="0"/>
    </xf>
    <xf numFmtId="4" fontId="35" fillId="0" borderId="0" xfId="22" applyNumberFormat="1" applyFont="1" applyFill="1" applyBorder="1" applyAlignment="1" applyProtection="1">
      <alignment vertical="center"/>
      <protection locked="0"/>
    </xf>
    <xf numFmtId="4" fontId="35" fillId="15" borderId="0" xfId="22" applyNumberFormat="1" applyFont="1" applyFill="1" applyBorder="1" applyAlignment="1" applyProtection="1">
      <alignment vertical="center"/>
      <protection locked="0"/>
    </xf>
    <xf numFmtId="4" fontId="6" fillId="9" borderId="0" xfId="22" applyNumberFormat="1" applyFont="1" applyFill="1"/>
    <xf numFmtId="4" fontId="35" fillId="4" borderId="5" xfId="23" applyNumberFormat="1" applyFont="1" applyFill="1" applyBorder="1" applyAlignment="1" applyProtection="1">
      <alignment vertical="center"/>
      <protection locked="0"/>
    </xf>
    <xf numFmtId="4" fontId="35" fillId="0" borderId="0" xfId="0" applyNumberFormat="1" applyFont="1" applyAlignment="1">
      <alignment vertical="center"/>
    </xf>
    <xf numFmtId="4" fontId="35" fillId="0" borderId="0" xfId="22" applyNumberFormat="1" applyFont="1" applyAlignment="1" applyProtection="1">
      <alignment vertical="center"/>
      <protection locked="0"/>
    </xf>
    <xf numFmtId="4" fontId="35" fillId="15" borderId="0" xfId="22" applyNumberFormat="1" applyFont="1" applyFill="1" applyAlignment="1" applyProtection="1">
      <alignment vertical="center"/>
      <protection locked="0"/>
    </xf>
    <xf numFmtId="179" fontId="6" fillId="4" borderId="5" xfId="23" applyNumberFormat="1" applyFont="1" applyFill="1" applyBorder="1" applyAlignment="1" applyProtection="1">
      <alignment vertical="center"/>
      <protection locked="0"/>
    </xf>
    <xf numFmtId="179" fontId="35" fillId="4" borderId="5" xfId="23" applyNumberFormat="1" applyFont="1" applyFill="1" applyBorder="1" applyAlignment="1" applyProtection="1">
      <alignment vertical="center"/>
      <protection locked="0"/>
    </xf>
    <xf numFmtId="4" fontId="11" fillId="0" borderId="1" xfId="5" applyNumberFormat="1" applyAlignment="1">
      <alignment wrapText="1"/>
    </xf>
    <xf numFmtId="4" fontId="6" fillId="9" borderId="5" xfId="22" applyNumberFormat="1" applyFont="1" applyFill="1" applyBorder="1" applyAlignment="1" applyProtection="1">
      <alignment vertical="center" wrapText="1"/>
      <protection locked="0"/>
    </xf>
    <xf numFmtId="4" fontId="6" fillId="10" borderId="5" xfId="22" applyNumberFormat="1" applyFont="1" applyFill="1" applyBorder="1" applyAlignment="1">
      <alignment vertical="center" wrapText="1"/>
    </xf>
    <xf numFmtId="4" fontId="35" fillId="0" borderId="24" xfId="22" applyNumberFormat="1" applyFont="1" applyFill="1" applyBorder="1" applyAlignment="1" applyProtection="1">
      <alignment vertical="center" wrapText="1"/>
      <protection locked="0"/>
    </xf>
    <xf numFmtId="4" fontId="35" fillId="4" borderId="22" xfId="22" applyNumberFormat="1" applyFont="1" applyFill="1" applyBorder="1" applyAlignment="1" applyProtection="1">
      <alignment vertical="center" wrapText="1"/>
      <protection locked="0"/>
    </xf>
    <xf numFmtId="4" fontId="35" fillId="0" borderId="24" xfId="22" applyNumberFormat="1" applyFont="1" applyFill="1" applyBorder="1" applyAlignment="1" applyProtection="1">
      <alignment vertical="center"/>
      <protection locked="0"/>
    </xf>
    <xf numFmtId="4" fontId="35" fillId="4" borderId="5" xfId="22" applyNumberFormat="1" applyFont="1" applyFill="1" applyBorder="1" applyAlignment="1" applyProtection="1">
      <alignment horizontal="right" vertical="center"/>
      <protection locked="0"/>
    </xf>
    <xf numFmtId="4" fontId="6" fillId="4" borderId="5" xfId="22" applyNumberFormat="1" applyFont="1" applyFill="1" applyBorder="1" applyAlignment="1" applyProtection="1">
      <alignment horizontal="right" vertical="center" wrapText="1"/>
      <protection locked="0"/>
    </xf>
    <xf numFmtId="173" fontId="16" fillId="10" borderId="6" xfId="0" applyNumberFormat="1" applyFont="1" applyFill="1" applyBorder="1" applyAlignment="1">
      <alignment horizontal="center" vertical="center" wrapText="1"/>
    </xf>
    <xf numFmtId="4" fontId="0" fillId="10" borderId="6" xfId="0" applyNumberFormat="1" applyFill="1" applyBorder="1" applyAlignment="1">
      <alignment horizontal="center" vertical="center" wrapText="1"/>
    </xf>
    <xf numFmtId="167" fontId="0" fillId="10" borderId="6" xfId="0" applyNumberFormat="1" applyFill="1" applyBorder="1" applyAlignment="1">
      <alignment horizontal="center" vertical="center" wrapText="1"/>
    </xf>
    <xf numFmtId="164" fontId="0" fillId="10" borderId="6" xfId="0" applyNumberFormat="1" applyFill="1" applyBorder="1" applyAlignment="1">
      <alignment horizontal="center" vertical="center" wrapText="1"/>
    </xf>
    <xf numFmtId="4" fontId="34" fillId="0" borderId="0" xfId="22" applyNumberFormat="1" applyFont="1" applyAlignment="1">
      <alignment horizontal="right"/>
    </xf>
    <xf numFmtId="0" fontId="53" fillId="4" borderId="0" xfId="2" applyNumberFormat="1" applyFont="1" applyBorder="1" applyAlignment="1">
      <alignment vertical="center"/>
      <protection locked="0"/>
    </xf>
    <xf numFmtId="0" fontId="35" fillId="4" borderId="0" xfId="2" applyNumberFormat="1" applyFont="1" applyBorder="1" applyAlignment="1">
      <alignment vertical="center"/>
      <protection locked="0"/>
    </xf>
    <xf numFmtId="4" fontId="35" fillId="4" borderId="26" xfId="22" applyNumberFormat="1" applyFont="1" applyFill="1" applyBorder="1" applyAlignment="1" applyProtection="1">
      <alignment vertical="center" wrapText="1"/>
      <protection locked="0"/>
    </xf>
    <xf numFmtId="4" fontId="6" fillId="4" borderId="26" xfId="22" applyNumberFormat="1" applyFont="1" applyFill="1" applyBorder="1" applyAlignment="1" applyProtection="1">
      <alignment vertical="center" wrapText="1"/>
      <protection locked="0"/>
    </xf>
    <xf numFmtId="4" fontId="35" fillId="4" borderId="27" xfId="22" applyNumberFormat="1" applyFont="1" applyFill="1" applyBorder="1" applyAlignment="1" applyProtection="1">
      <alignment vertical="center"/>
      <protection locked="0"/>
    </xf>
    <xf numFmtId="4" fontId="6" fillId="4" borderId="27" xfId="22" applyNumberFormat="1" applyFont="1" applyFill="1" applyBorder="1" applyAlignment="1" applyProtection="1">
      <alignment vertical="center" wrapText="1"/>
      <protection locked="0"/>
    </xf>
    <xf numFmtId="43" fontId="34" fillId="4" borderId="0" xfId="22" applyFont="1" applyFill="1" applyBorder="1" applyAlignment="1" applyProtection="1">
      <alignment vertical="center"/>
      <protection locked="0"/>
    </xf>
    <xf numFmtId="4" fontId="34" fillId="15" borderId="0" xfId="22" applyNumberFormat="1" applyFont="1" applyFill="1" applyBorder="1" applyAlignment="1" applyProtection="1">
      <alignment vertical="center"/>
      <protection locked="0"/>
    </xf>
    <xf numFmtId="4" fontId="35" fillId="4" borderId="26" xfId="22" applyNumberFormat="1" applyFont="1" applyFill="1" applyBorder="1" applyAlignment="1" applyProtection="1">
      <alignment vertical="center"/>
      <protection locked="0"/>
    </xf>
    <xf numFmtId="4" fontId="0" fillId="0" borderId="6" xfId="0" applyNumberFormat="1" applyBorder="1" applyAlignment="1">
      <alignment horizontal="center"/>
    </xf>
    <xf numFmtId="43" fontId="0" fillId="10" borderId="6" xfId="22" applyFont="1" applyFill="1" applyBorder="1" applyAlignment="1">
      <alignment horizontal="right" vertical="center" wrapText="1"/>
    </xf>
    <xf numFmtId="4" fontId="35" fillId="0" borderId="0" xfId="17" applyNumberFormat="1" applyFont="1"/>
    <xf numFmtId="0" fontId="34" fillId="9" borderId="0" xfId="2" applyNumberFormat="1" applyFont="1" applyFill="1" applyAlignment="1" applyProtection="1">
      <alignment horizontal="left" vertical="center"/>
    </xf>
    <xf numFmtId="173" fontId="0" fillId="10" borderId="6" xfId="0" applyNumberFormat="1" applyFill="1" applyBorder="1" applyAlignment="1">
      <alignment horizontal="center" vertical="center" wrapText="1"/>
    </xf>
    <xf numFmtId="4" fontId="34" fillId="4" borderId="6" xfId="2" applyNumberFormat="1" applyFont="1" applyBorder="1" applyAlignment="1">
      <alignment horizontal="right" vertical="center"/>
      <protection locked="0"/>
    </xf>
    <xf numFmtId="4" fontId="16" fillId="19" borderId="6" xfId="17" applyNumberFormat="1" applyFont="1" applyFill="1" applyBorder="1" applyAlignment="1">
      <alignment horizontal="right"/>
    </xf>
    <xf numFmtId="4" fontId="16" fillId="16" borderId="6" xfId="17" applyNumberFormat="1" applyFont="1" applyFill="1" applyBorder="1" applyAlignment="1">
      <alignment horizontal="right"/>
    </xf>
    <xf numFmtId="4" fontId="16" fillId="15" borderId="6" xfId="17" applyNumberFormat="1" applyFont="1" applyFill="1" applyBorder="1" applyAlignment="1">
      <alignment horizontal="right" wrapText="1"/>
    </xf>
    <xf numFmtId="4" fontId="16" fillId="27" borderId="6" xfId="17" applyNumberFormat="1" applyFont="1" applyFill="1" applyBorder="1" applyAlignment="1">
      <alignment horizontal="right"/>
    </xf>
    <xf numFmtId="0" fontId="41" fillId="0" borderId="6" xfId="26" applyFont="1" applyFill="1" applyBorder="1" applyAlignment="1">
      <alignment vertical="center" wrapText="1"/>
    </xf>
    <xf numFmtId="0" fontId="41" fillId="0" borderId="6" xfId="26" applyFont="1" applyBorder="1" applyAlignment="1">
      <alignment vertical="center" wrapText="1"/>
    </xf>
    <xf numFmtId="0" fontId="49" fillId="9" borderId="0" xfId="0" applyFont="1" applyFill="1" applyAlignment="1">
      <alignment horizontal="left" vertical="center"/>
    </xf>
    <xf numFmtId="0" fontId="49" fillId="9" borderId="0" xfId="0" applyFont="1" applyFill="1" applyAlignment="1">
      <alignment horizontal="left" vertical="center" wrapText="1"/>
    </xf>
    <xf numFmtId="0" fontId="0" fillId="0" borderId="0" xfId="0" quotePrefix="1"/>
    <xf numFmtId="0" fontId="49" fillId="0" borderId="0" xfId="0" applyFont="1" applyAlignment="1">
      <alignment horizontal="left" vertical="top" wrapText="1"/>
    </xf>
    <xf numFmtId="173" fontId="0" fillId="4" borderId="6" xfId="0" quotePrefix="1" applyNumberFormat="1" applyFill="1" applyBorder="1" applyAlignment="1">
      <alignment horizontal="right" wrapText="1"/>
    </xf>
    <xf numFmtId="179" fontId="35" fillId="4" borderId="5" xfId="22" applyNumberFormat="1" applyFont="1" applyFill="1" applyBorder="1" applyAlignment="1" applyProtection="1">
      <alignment vertical="center"/>
      <protection locked="0"/>
    </xf>
    <xf numFmtId="0" fontId="0" fillId="0" borderId="0" xfId="17" quotePrefix="1" applyFont="1" applyAlignment="1">
      <alignment wrapText="1"/>
    </xf>
    <xf numFmtId="9" fontId="6" fillId="4" borderId="5" xfId="22" applyNumberFormat="1" applyFont="1" applyFill="1" applyBorder="1" applyAlignment="1" applyProtection="1">
      <alignment vertical="center" wrapText="1"/>
      <protection locked="0"/>
    </xf>
    <xf numFmtId="4" fontId="6" fillId="0" borderId="0" xfId="22" applyNumberFormat="1" applyFont="1" applyFill="1" applyBorder="1" applyAlignment="1" applyProtection="1">
      <alignment vertical="center" wrapText="1"/>
    </xf>
    <xf numFmtId="4" fontId="11" fillId="0" borderId="0" xfId="10" applyNumberFormat="1" applyFont="1" applyBorder="1" applyAlignment="1">
      <alignment vertical="center"/>
    </xf>
    <xf numFmtId="0" fontId="63" fillId="0" borderId="0" xfId="0" applyFont="1" applyAlignment="1">
      <alignment horizontal="center"/>
    </xf>
    <xf numFmtId="0" fontId="63" fillId="20" borderId="0" xfId="0" applyFont="1" applyFill="1" applyAlignment="1">
      <alignment horizontal="center"/>
    </xf>
    <xf numFmtId="0" fontId="14" fillId="0" borderId="0" xfId="0" applyFont="1"/>
    <xf numFmtId="0" fontId="6" fillId="0" borderId="0" xfId="0" applyFont="1"/>
    <xf numFmtId="2" fontId="6" fillId="4" borderId="6" xfId="2" applyNumberFormat="1" applyBorder="1" applyAlignment="1">
      <alignment horizontal="center" vertical="center"/>
      <protection locked="0"/>
    </xf>
    <xf numFmtId="0" fontId="0" fillId="4" borderId="0" xfId="0" applyFill="1"/>
    <xf numFmtId="9" fontId="6" fillId="4" borderId="6" xfId="2" quotePrefix="1" applyNumberFormat="1" applyBorder="1" applyAlignment="1">
      <alignment horizontal="center" vertical="center"/>
      <protection locked="0"/>
    </xf>
    <xf numFmtId="0" fontId="68" fillId="0" borderId="0" xfId="0" quotePrefix="1" applyFont="1" applyAlignment="1">
      <alignment vertical="center"/>
    </xf>
    <xf numFmtId="9" fontId="6" fillId="0" borderId="6" xfId="0" applyNumberFormat="1" applyFont="1" applyBorder="1" applyAlignment="1">
      <alignment horizontal="center" vertical="center"/>
    </xf>
    <xf numFmtId="0" fontId="35" fillId="0" borderId="0" xfId="0" applyFont="1" applyAlignment="1">
      <alignment horizontal="left"/>
    </xf>
    <xf numFmtId="4" fontId="6" fillId="10" borderId="5" xfId="22" applyNumberFormat="1" applyFont="1" applyFill="1" applyBorder="1" applyAlignment="1" applyProtection="1">
      <alignment horizontal="right" vertical="center" wrapText="1"/>
    </xf>
    <xf numFmtId="4" fontId="6" fillId="10" borderId="5" xfId="23" applyNumberFormat="1" applyFont="1" applyFill="1" applyBorder="1" applyAlignment="1" applyProtection="1">
      <alignment horizontal="right" vertical="center"/>
    </xf>
    <xf numFmtId="0" fontId="6" fillId="10" borderId="6" xfId="0" applyFont="1" applyFill="1" applyBorder="1" applyAlignment="1">
      <alignment horizontal="center" vertical="center"/>
    </xf>
    <xf numFmtId="0" fontId="87" fillId="30" borderId="6" xfId="26" applyFont="1" applyFill="1" applyBorder="1" applyAlignment="1"/>
    <xf numFmtId="0" fontId="52" fillId="0" borderId="0" xfId="0" applyFont="1"/>
    <xf numFmtId="0" fontId="35" fillId="9" borderId="0" xfId="0" applyFont="1" applyFill="1" applyAlignment="1">
      <alignment horizontal="left"/>
    </xf>
    <xf numFmtId="0" fontId="6" fillId="0" borderId="0" xfId="0" quotePrefix="1" applyFont="1"/>
    <xf numFmtId="0" fontId="34" fillId="9" borderId="19" xfId="2" applyNumberFormat="1" applyFont="1" applyFill="1" applyBorder="1" applyAlignment="1" applyProtection="1">
      <alignment vertical="center"/>
    </xf>
    <xf numFmtId="4" fontId="34" fillId="15" borderId="0" xfId="22" applyNumberFormat="1" applyFont="1" applyFill="1" applyAlignment="1" applyProtection="1">
      <alignment vertical="center"/>
      <protection locked="0"/>
    </xf>
    <xf numFmtId="0" fontId="39" fillId="0" borderId="0" xfId="26" applyAlignment="1">
      <alignment horizontal="right"/>
    </xf>
    <xf numFmtId="0" fontId="79" fillId="0" borderId="28" xfId="0" applyFont="1" applyBorder="1" applyAlignment="1">
      <alignment horizontal="center"/>
    </xf>
    <xf numFmtId="4" fontId="6" fillId="0" borderId="8" xfId="0" applyNumberFormat="1" applyFont="1" applyBorder="1" applyAlignment="1">
      <alignment horizontal="center"/>
    </xf>
    <xf numFmtId="0" fontId="0" fillId="9" borderId="0" xfId="0" applyFill="1" applyAlignment="1">
      <alignment vertical="center"/>
    </xf>
    <xf numFmtId="0" fontId="102" fillId="0" borderId="0" xfId="0" applyFont="1"/>
    <xf numFmtId="9" fontId="6" fillId="0" borderId="6" xfId="2" quotePrefix="1" applyNumberFormat="1" applyFill="1" applyBorder="1" applyAlignment="1">
      <alignment horizontal="center" vertical="center"/>
      <protection locked="0"/>
    </xf>
    <xf numFmtId="2" fontId="6" fillId="0" borderId="6" xfId="2" applyNumberFormat="1" applyFill="1" applyBorder="1" applyAlignment="1">
      <alignment horizontal="center" vertical="center"/>
      <protection locked="0"/>
    </xf>
    <xf numFmtId="9" fontId="0" fillId="4" borderId="8" xfId="0" applyNumberFormat="1" applyFill="1" applyBorder="1" applyAlignment="1">
      <alignment horizontal="right"/>
    </xf>
    <xf numFmtId="174" fontId="0" fillId="0" borderId="6" xfId="0" applyNumberFormat="1" applyBorder="1"/>
    <xf numFmtId="179" fontId="0" fillId="0" borderId="6" xfId="23" applyNumberFormat="1" applyFont="1" applyBorder="1"/>
    <xf numFmtId="180" fontId="0" fillId="0" borderId="6" xfId="23" applyNumberFormat="1" applyFont="1" applyBorder="1"/>
    <xf numFmtId="183" fontId="0" fillId="0" borderId="6" xfId="23" applyNumberFormat="1" applyFont="1" applyBorder="1"/>
    <xf numFmtId="0" fontId="47" fillId="3" borderId="6" xfId="0" applyFont="1" applyFill="1" applyBorder="1" applyAlignment="1">
      <alignment wrapText="1"/>
    </xf>
    <xf numFmtId="174" fontId="0" fillId="0" borderId="6" xfId="23" applyNumberFormat="1" applyFont="1" applyBorder="1"/>
    <xf numFmtId="0" fontId="35" fillId="31" borderId="0" xfId="0" applyFont="1" applyFill="1" applyAlignment="1">
      <alignment vertical="center"/>
    </xf>
    <xf numFmtId="0" fontId="16" fillId="31" borderId="0" xfId="0" applyFont="1" applyFill="1"/>
    <xf numFmtId="0" fontId="0" fillId="31" borderId="0" xfId="0" applyFill="1"/>
    <xf numFmtId="4" fontId="16" fillId="31" borderId="6" xfId="17" applyNumberFormat="1" applyFont="1" applyFill="1" applyBorder="1" applyAlignment="1">
      <alignment horizontal="right" wrapText="1"/>
    </xf>
    <xf numFmtId="4" fontId="16" fillId="0" borderId="0" xfId="17" applyNumberFormat="1" applyFont="1" applyAlignment="1">
      <alignment wrapText="1"/>
    </xf>
    <xf numFmtId="0" fontId="6" fillId="10" borderId="6" xfId="23" applyNumberFormat="1" applyFont="1" applyFill="1" applyBorder="1" applyAlignment="1">
      <alignment horizontal="center" vertical="center"/>
    </xf>
    <xf numFmtId="0" fontId="0" fillId="9" borderId="14" xfId="0" applyFill="1" applyBorder="1"/>
    <xf numFmtId="0" fontId="16" fillId="9" borderId="14" xfId="0" applyFont="1" applyFill="1" applyBorder="1" applyAlignment="1">
      <alignment horizontal="left" vertical="center"/>
    </xf>
    <xf numFmtId="0" fontId="16" fillId="9" borderId="14" xfId="0" applyFont="1" applyFill="1" applyBorder="1" applyAlignment="1">
      <alignment horizontal="left" vertical="top"/>
    </xf>
    <xf numFmtId="0" fontId="0" fillId="0" borderId="7" xfId="0" applyBorder="1" applyAlignment="1">
      <alignment vertical="top" wrapText="1"/>
    </xf>
    <xf numFmtId="3" fontId="0" fillId="10" borderId="6" xfId="0" applyNumberFormat="1" applyFill="1" applyBorder="1" applyAlignment="1">
      <alignment horizontal="right" vertical="center"/>
    </xf>
    <xf numFmtId="0" fontId="49" fillId="9" borderId="0" xfId="0" applyFont="1" applyFill="1" applyAlignment="1">
      <alignment vertical="top" wrapText="1"/>
    </xf>
    <xf numFmtId="0" fontId="87" fillId="32" borderId="6" xfId="26" applyFont="1" applyFill="1" applyBorder="1" applyAlignment="1"/>
    <xf numFmtId="0" fontId="87" fillId="32" borderId="0" xfId="26" applyFont="1" applyFill="1" applyBorder="1" applyAlignment="1"/>
    <xf numFmtId="4" fontId="25" fillId="0" borderId="0" xfId="18" applyNumberFormat="1" applyFont="1" applyAlignment="1">
      <alignment horizontal="center" vertical="top"/>
    </xf>
    <xf numFmtId="3" fontId="25" fillId="0" borderId="0" xfId="18" applyNumberFormat="1" applyFont="1" applyAlignment="1">
      <alignment horizontal="center" vertical="top"/>
    </xf>
    <xf numFmtId="0" fontId="25" fillId="0" borderId="0" xfId="18" applyFont="1" applyAlignment="1">
      <alignment horizontal="center" vertical="top"/>
    </xf>
    <xf numFmtId="169" fontId="24" fillId="0" borderId="0" xfId="18" applyNumberFormat="1" applyFont="1" applyAlignment="1">
      <alignment horizontal="center" vertical="top"/>
    </xf>
    <xf numFmtId="164" fontId="25" fillId="0" borderId="0" xfId="18" applyNumberFormat="1" applyFont="1" applyAlignment="1">
      <alignment horizontal="center" vertical="top"/>
    </xf>
    <xf numFmtId="165" fontId="25" fillId="0" borderId="0" xfId="18" applyNumberFormat="1" applyFont="1" applyAlignment="1">
      <alignment horizontal="center" vertical="top"/>
    </xf>
    <xf numFmtId="0" fontId="6" fillId="9" borderId="0" xfId="2" applyNumberFormat="1" applyFill="1" applyBorder="1" applyAlignment="1" applyProtection="1">
      <alignment vertical="center"/>
    </xf>
    <xf numFmtId="0" fontId="106" fillId="0" borderId="0" xfId="0" applyFont="1" applyAlignment="1">
      <alignment vertical="center"/>
    </xf>
    <xf numFmtId="10" fontId="0" fillId="0" borderId="6" xfId="23" applyNumberFormat="1" applyFont="1" applyBorder="1"/>
    <xf numFmtId="0" fontId="47" fillId="3" borderId="6" xfId="0" applyFont="1" applyFill="1" applyBorder="1" applyAlignment="1">
      <alignment horizontal="right" wrapText="1"/>
    </xf>
    <xf numFmtId="0" fontId="47" fillId="3" borderId="6" xfId="0" applyFont="1" applyFill="1" applyBorder="1" applyAlignment="1">
      <alignment horizontal="right"/>
    </xf>
    <xf numFmtId="0" fontId="22" fillId="0" borderId="0" xfId="17" quotePrefix="1" applyFont="1"/>
    <xf numFmtId="0" fontId="107" fillId="0" borderId="0" xfId="0" applyFont="1"/>
    <xf numFmtId="0" fontId="108" fillId="3" borderId="6" xfId="0" applyFont="1" applyFill="1" applyBorder="1" applyAlignment="1">
      <alignment horizontal="right" wrapText="1"/>
    </xf>
    <xf numFmtId="9" fontId="54" fillId="0" borderId="6" xfId="23" applyFont="1" applyBorder="1"/>
    <xf numFmtId="9" fontId="54" fillId="0" borderId="6" xfId="23" applyFont="1" applyBorder="1" applyAlignment="1">
      <alignment horizontal="right"/>
    </xf>
    <xf numFmtId="9" fontId="0" fillId="0" borderId="6" xfId="23" applyFont="1" applyBorder="1"/>
    <xf numFmtId="174" fontId="0" fillId="0" borderId="6" xfId="23" applyNumberFormat="1" applyFont="1" applyFill="1" applyBorder="1"/>
    <xf numFmtId="9" fontId="0" fillId="0" borderId="0" xfId="23" applyFont="1"/>
    <xf numFmtId="10" fontId="0" fillId="0" borderId="0" xfId="23" applyNumberFormat="1" applyFont="1"/>
    <xf numFmtId="0" fontId="39" fillId="0" borderId="0" xfId="26" applyAlignment="1"/>
    <xf numFmtId="0" fontId="2" fillId="0" borderId="0" xfId="13" applyFont="1"/>
    <xf numFmtId="0" fontId="2" fillId="9" borderId="6" xfId="0" applyFont="1" applyFill="1" applyBorder="1"/>
    <xf numFmtId="2" fontId="2" fillId="9" borderId="6" xfId="0" applyNumberFormat="1" applyFont="1" applyFill="1" applyBorder="1"/>
    <xf numFmtId="0" fontId="2" fillId="0" borderId="0" xfId="0" applyFont="1"/>
    <xf numFmtId="184" fontId="35" fillId="0" borderId="0" xfId="0" applyNumberFormat="1" applyFont="1" applyAlignment="1">
      <alignment horizontal="right"/>
    </xf>
    <xf numFmtId="184" fontId="6" fillId="0" borderId="0" xfId="0" applyNumberFormat="1" applyFont="1" applyAlignment="1">
      <alignment horizontal="right"/>
    </xf>
    <xf numFmtId="0" fontId="29" fillId="0" borderId="0" xfId="17" applyFont="1"/>
    <xf numFmtId="0" fontId="23" fillId="0" borderId="1" xfId="5" applyFont="1" applyAlignment="1">
      <alignment horizontal="right" wrapText="1"/>
    </xf>
    <xf numFmtId="0" fontId="71" fillId="9" borderId="0" xfId="0" applyFont="1" applyFill="1" applyAlignment="1">
      <alignment horizontal="center" vertical="top" wrapText="1"/>
    </xf>
    <xf numFmtId="0" fontId="0" fillId="9" borderId="6" xfId="0" applyFill="1" applyBorder="1" applyAlignment="1">
      <alignment horizontal="left" vertical="center" wrapText="1"/>
    </xf>
    <xf numFmtId="0" fontId="0" fillId="0" borderId="8" xfId="0" applyBorder="1" applyAlignment="1">
      <alignment horizontal="left"/>
    </xf>
    <xf numFmtId="0" fontId="0" fillId="0" borderId="9" xfId="0" applyBorder="1" applyAlignment="1">
      <alignment horizontal="left"/>
    </xf>
    <xf numFmtId="0" fontId="0" fillId="0" borderId="10" xfId="0" applyBorder="1" applyAlignment="1">
      <alignment horizontal="left"/>
    </xf>
    <xf numFmtId="0" fontId="0" fillId="0" borderId="15" xfId="0" applyBorder="1" applyAlignment="1">
      <alignment horizontal="left"/>
    </xf>
    <xf numFmtId="0" fontId="0" fillId="0" borderId="16" xfId="0" applyBorder="1" applyAlignment="1">
      <alignment horizontal="left"/>
    </xf>
    <xf numFmtId="0" fontId="0" fillId="0" borderId="17" xfId="0" applyBorder="1" applyAlignment="1">
      <alignment horizontal="left"/>
    </xf>
    <xf numFmtId="0" fontId="0" fillId="0" borderId="0" xfId="0" applyAlignment="1">
      <alignment horizontal="left"/>
    </xf>
    <xf numFmtId="0" fontId="16" fillId="0" borderId="0" xfId="0" applyFont="1" applyAlignment="1">
      <alignment horizontal="left" wrapText="1"/>
    </xf>
    <xf numFmtId="0" fontId="0" fillId="0" borderId="0" xfId="0" applyAlignment="1">
      <alignment horizontal="left" wrapText="1"/>
    </xf>
    <xf numFmtId="0" fontId="56" fillId="0" borderId="0" xfId="0" applyFont="1" applyAlignment="1">
      <alignment horizontal="left"/>
    </xf>
    <xf numFmtId="0" fontId="16" fillId="0" borderId="0" xfId="0" applyFont="1" applyAlignment="1">
      <alignment horizontal="left"/>
    </xf>
    <xf numFmtId="0" fontId="0" fillId="0" borderId="6" xfId="0" applyBorder="1" applyAlignment="1">
      <alignment horizontal="left"/>
    </xf>
    <xf numFmtId="0" fontId="0" fillId="9" borderId="7" xfId="0" applyFill="1" applyBorder="1" applyAlignment="1">
      <alignment horizontal="left" vertical="top" wrapText="1"/>
    </xf>
    <xf numFmtId="0" fontId="0" fillId="9" borderId="7" xfId="0" applyFill="1" applyBorder="1" applyAlignment="1">
      <alignment horizontal="left" vertical="top"/>
    </xf>
    <xf numFmtId="0" fontId="0" fillId="9" borderId="0" xfId="0" applyFill="1" applyAlignment="1">
      <alignment horizontal="left" vertical="top" wrapText="1"/>
    </xf>
    <xf numFmtId="0" fontId="0" fillId="9" borderId="15" xfId="0" applyFill="1" applyBorder="1" applyAlignment="1">
      <alignment horizontal="left"/>
    </xf>
    <xf numFmtId="0" fontId="65" fillId="15" borderId="7" xfId="0" applyFont="1" applyFill="1" applyBorder="1" applyAlignment="1">
      <alignment horizontal="left"/>
    </xf>
    <xf numFmtId="0" fontId="0" fillId="9" borderId="9" xfId="0" applyFill="1" applyBorder="1" applyAlignment="1">
      <alignment horizontal="center" vertical="top" wrapText="1"/>
    </xf>
    <xf numFmtId="0" fontId="71" fillId="9" borderId="14" xfId="0" applyFont="1" applyFill="1" applyBorder="1" applyAlignment="1">
      <alignment horizontal="center" vertical="center" wrapText="1"/>
    </xf>
    <xf numFmtId="0" fontId="0" fillId="9" borderId="0" xfId="0" applyFill="1" applyAlignment="1">
      <alignment horizontal="left"/>
    </xf>
    <xf numFmtId="0" fontId="0" fillId="9" borderId="7" xfId="0" applyFill="1" applyBorder="1" applyAlignment="1">
      <alignment horizontal="left"/>
    </xf>
    <xf numFmtId="0" fontId="65" fillId="15" borderId="11" xfId="0" applyFont="1" applyFill="1" applyBorder="1" applyAlignment="1">
      <alignment horizontal="left"/>
    </xf>
    <xf numFmtId="0" fontId="0" fillId="9" borderId="14" xfId="0" applyFill="1" applyBorder="1" applyAlignment="1">
      <alignment horizontal="left"/>
    </xf>
    <xf numFmtId="0" fontId="0" fillId="9" borderId="7" xfId="0" applyFill="1" applyBorder="1" applyAlignment="1">
      <alignment horizontal="left" wrapText="1"/>
    </xf>
    <xf numFmtId="0" fontId="0" fillId="9" borderId="14" xfId="0" applyFill="1" applyBorder="1" applyAlignment="1">
      <alignment horizontal="left" wrapText="1"/>
    </xf>
    <xf numFmtId="0" fontId="71" fillId="0" borderId="14" xfId="0" applyFont="1" applyBorder="1" applyAlignment="1">
      <alignment horizontal="center" vertical="center" wrapText="1"/>
    </xf>
    <xf numFmtId="0" fontId="0" fillId="9" borderId="15" xfId="0" applyFill="1" applyBorder="1" applyAlignment="1">
      <alignment horizontal="left" vertical="top" wrapText="1"/>
    </xf>
    <xf numFmtId="0" fontId="0" fillId="9" borderId="15" xfId="0" applyFill="1" applyBorder="1" applyAlignment="1">
      <alignment horizontal="left" vertical="top"/>
    </xf>
    <xf numFmtId="0" fontId="0" fillId="9" borderId="16" xfId="0" applyFill="1" applyBorder="1" applyAlignment="1">
      <alignment horizontal="left" vertical="top"/>
    </xf>
    <xf numFmtId="0" fontId="92" fillId="9" borderId="0" xfId="0" applyFont="1" applyFill="1" applyAlignment="1">
      <alignment horizontal="center"/>
    </xf>
    <xf numFmtId="0" fontId="34" fillId="9" borderId="0" xfId="2" applyNumberFormat="1" applyFont="1" applyFill="1" applyAlignment="1" applyProtection="1">
      <alignment horizontal="left" vertical="center"/>
    </xf>
    <xf numFmtId="0" fontId="39" fillId="10" borderId="6" xfId="26" applyFill="1" applyBorder="1" applyAlignment="1" applyProtection="1">
      <alignment horizontal="center"/>
    </xf>
    <xf numFmtId="0" fontId="85" fillId="10" borderId="6" xfId="26" applyFont="1" applyFill="1" applyBorder="1" applyAlignment="1" applyProtection="1">
      <alignment horizontal="center"/>
    </xf>
    <xf numFmtId="0" fontId="16" fillId="15" borderId="8" xfId="0" applyFont="1" applyFill="1" applyBorder="1" applyAlignment="1">
      <alignment horizontal="center" wrapText="1"/>
    </xf>
    <xf numFmtId="0" fontId="16" fillId="15" borderId="9" xfId="0" applyFont="1" applyFill="1" applyBorder="1" applyAlignment="1">
      <alignment horizontal="center" wrapText="1"/>
    </xf>
    <xf numFmtId="0" fontId="16" fillId="15" borderId="10" xfId="0" applyFont="1" applyFill="1" applyBorder="1" applyAlignment="1">
      <alignment horizontal="center" wrapText="1"/>
    </xf>
    <xf numFmtId="0" fontId="16" fillId="15" borderId="8" xfId="0" applyFont="1" applyFill="1" applyBorder="1" applyAlignment="1">
      <alignment horizontal="center"/>
    </xf>
    <xf numFmtId="0" fontId="16" fillId="15" borderId="9" xfId="0" applyFont="1" applyFill="1" applyBorder="1" applyAlignment="1">
      <alignment horizontal="center"/>
    </xf>
    <xf numFmtId="0" fontId="16" fillId="15" borderId="10" xfId="0" applyFont="1" applyFill="1" applyBorder="1" applyAlignment="1">
      <alignment horizontal="center"/>
    </xf>
    <xf numFmtId="0" fontId="41" fillId="0" borderId="18" xfId="26" applyFont="1" applyFill="1" applyBorder="1" applyAlignment="1">
      <alignment horizontal="left" vertical="center"/>
    </xf>
    <xf numFmtId="0" fontId="41" fillId="0" borderId="20" xfId="26" applyFont="1" applyFill="1" applyBorder="1" applyAlignment="1">
      <alignment horizontal="left" vertical="center"/>
    </xf>
    <xf numFmtId="0" fontId="41" fillId="0" borderId="19" xfId="26" applyFont="1" applyFill="1" applyBorder="1" applyAlignment="1">
      <alignment horizontal="left" vertical="center"/>
    </xf>
    <xf numFmtId="9" fontId="6" fillId="10" borderId="18" xfId="0" applyNumberFormat="1" applyFont="1" applyFill="1" applyBorder="1" applyAlignment="1">
      <alignment horizontal="center" vertical="center"/>
    </xf>
    <xf numFmtId="9" fontId="6" fillId="10" borderId="20" xfId="0" applyNumberFormat="1" applyFont="1" applyFill="1" applyBorder="1" applyAlignment="1">
      <alignment horizontal="center" vertical="center"/>
    </xf>
    <xf numFmtId="9" fontId="6" fillId="10" borderId="19" xfId="0" applyNumberFormat="1" applyFont="1" applyFill="1" applyBorder="1" applyAlignment="1">
      <alignment horizontal="center" vertical="center"/>
    </xf>
    <xf numFmtId="4" fontId="0" fillId="10" borderId="18" xfId="0" applyNumberFormat="1" applyFill="1" applyBorder="1" applyAlignment="1">
      <alignment horizontal="center" vertical="center"/>
    </xf>
    <xf numFmtId="4" fontId="0" fillId="10" borderId="20" xfId="0" applyNumberFormat="1" applyFill="1" applyBorder="1" applyAlignment="1">
      <alignment horizontal="center" vertical="center"/>
    </xf>
    <xf numFmtId="4" fontId="0" fillId="10" borderId="19" xfId="0" applyNumberFormat="1" applyFill="1" applyBorder="1" applyAlignment="1">
      <alignment horizontal="center" vertical="center"/>
    </xf>
    <xf numFmtId="9" fontId="0" fillId="10" borderId="18" xfId="0" applyNumberFormat="1" applyFill="1" applyBorder="1" applyAlignment="1">
      <alignment horizontal="center" vertical="center"/>
    </xf>
    <xf numFmtId="9" fontId="0" fillId="10" borderId="20" xfId="0" applyNumberFormat="1" applyFill="1" applyBorder="1" applyAlignment="1">
      <alignment horizontal="center" vertical="center"/>
    </xf>
    <xf numFmtId="9" fontId="0" fillId="10" borderId="19" xfId="0" applyNumberFormat="1" applyFill="1" applyBorder="1" applyAlignment="1">
      <alignment horizontal="center" vertical="center"/>
    </xf>
    <xf numFmtId="0" fontId="41" fillId="0" borderId="18" xfId="26" applyFont="1" applyBorder="1" applyAlignment="1">
      <alignment horizontal="left" vertical="center"/>
    </xf>
    <xf numFmtId="0" fontId="41" fillId="0" borderId="20" xfId="26" applyFont="1" applyBorder="1" applyAlignment="1">
      <alignment horizontal="left" vertical="center"/>
    </xf>
    <xf numFmtId="0" fontId="41" fillId="0" borderId="19" xfId="26" applyFont="1" applyBorder="1" applyAlignment="1">
      <alignment horizontal="left" vertical="center"/>
    </xf>
    <xf numFmtId="0" fontId="41" fillId="0" borderId="18" xfId="26" applyFont="1" applyBorder="1" applyAlignment="1">
      <alignment horizontal="left" vertical="center" wrapText="1"/>
    </xf>
    <xf numFmtId="0" fontId="41" fillId="0" borderId="19" xfId="26" applyFont="1" applyBorder="1" applyAlignment="1">
      <alignment horizontal="left" vertical="center" wrapText="1"/>
    </xf>
    <xf numFmtId="0" fontId="0" fillId="0" borderId="11" xfId="0" applyBorder="1"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4" xfId="0" applyBorder="1" applyAlignment="1">
      <alignment horizontal="center" wrapText="1"/>
    </xf>
    <xf numFmtId="0" fontId="0" fillId="0" borderId="15" xfId="0" applyBorder="1" applyAlignment="1">
      <alignment horizontal="center" wrapText="1"/>
    </xf>
    <xf numFmtId="0" fontId="0" fillId="0" borderId="16" xfId="0" applyBorder="1" applyAlignment="1">
      <alignment horizontal="center" wrapText="1"/>
    </xf>
    <xf numFmtId="0" fontId="0" fillId="0" borderId="17" xfId="0" applyBorder="1" applyAlignment="1">
      <alignment horizontal="center" wrapText="1"/>
    </xf>
    <xf numFmtId="0" fontId="0" fillId="0" borderId="6" xfId="0" applyBorder="1" applyAlignment="1">
      <alignment horizontal="center" vertical="center" wrapText="1"/>
    </xf>
    <xf numFmtId="173" fontId="75" fillId="3" borderId="18" xfId="0" applyNumberFormat="1" applyFont="1" applyFill="1" applyBorder="1" applyAlignment="1">
      <alignment horizontal="center" vertical="center"/>
    </xf>
    <xf numFmtId="173" fontId="75" fillId="3" borderId="20" xfId="0" applyNumberFormat="1" applyFont="1" applyFill="1" applyBorder="1" applyAlignment="1">
      <alignment horizontal="center" vertical="center"/>
    </xf>
    <xf numFmtId="173" fontId="75" fillId="3" borderId="19" xfId="0" applyNumberFormat="1" applyFont="1" applyFill="1" applyBorder="1" applyAlignment="1">
      <alignment horizontal="center" vertical="center"/>
    </xf>
    <xf numFmtId="0" fontId="41" fillId="0" borderId="18" xfId="26" applyFont="1" applyFill="1" applyBorder="1" applyAlignment="1">
      <alignment horizontal="left" vertical="center" wrapText="1"/>
    </xf>
    <xf numFmtId="0" fontId="41" fillId="0" borderId="19" xfId="26" applyFont="1" applyFill="1" applyBorder="1" applyAlignment="1">
      <alignment horizontal="left" vertical="center" wrapText="1"/>
    </xf>
    <xf numFmtId="0" fontId="41" fillId="10" borderId="18" xfId="26" applyFont="1" applyFill="1" applyBorder="1" applyAlignment="1">
      <alignment horizontal="left" vertical="center"/>
    </xf>
    <xf numFmtId="0" fontId="41" fillId="10" borderId="20" xfId="26" applyFont="1" applyFill="1" applyBorder="1" applyAlignment="1">
      <alignment horizontal="left" vertical="center"/>
    </xf>
    <xf numFmtId="0" fontId="41" fillId="10" borderId="19" xfId="26" applyFont="1" applyFill="1" applyBorder="1" applyAlignment="1">
      <alignment horizontal="left" vertical="center"/>
    </xf>
    <xf numFmtId="4" fontId="0" fillId="10" borderId="6" xfId="0" applyNumberFormat="1" applyFill="1" applyBorder="1" applyAlignment="1">
      <alignment horizontal="center" vertical="center"/>
    </xf>
    <xf numFmtId="0" fontId="0" fillId="10" borderId="6" xfId="0" applyFill="1" applyBorder="1" applyAlignment="1">
      <alignment horizontal="center" vertical="center"/>
    </xf>
    <xf numFmtId="173" fontId="16" fillId="10" borderId="18" xfId="0" applyNumberFormat="1" applyFont="1" applyFill="1" applyBorder="1" applyAlignment="1">
      <alignment horizontal="center" vertical="center"/>
    </xf>
    <xf numFmtId="173" fontId="16" fillId="10" borderId="20" xfId="0" applyNumberFormat="1" applyFont="1" applyFill="1" applyBorder="1" applyAlignment="1">
      <alignment horizontal="center" vertical="center"/>
    </xf>
    <xf numFmtId="173" fontId="16" fillId="10" borderId="19" xfId="0" applyNumberFormat="1" applyFont="1" applyFill="1" applyBorder="1" applyAlignment="1">
      <alignment horizontal="center" vertical="center"/>
    </xf>
    <xf numFmtId="0" fontId="41" fillId="0" borderId="18" xfId="26" applyFont="1" applyFill="1" applyBorder="1" applyAlignment="1">
      <alignment horizontal="center" vertical="center"/>
    </xf>
    <xf numFmtId="0" fontId="41" fillId="0" borderId="20" xfId="26" applyFont="1" applyFill="1" applyBorder="1" applyAlignment="1">
      <alignment horizontal="center" vertical="center"/>
    </xf>
    <xf numFmtId="0" fontId="41" fillId="0" borderId="19" xfId="26" applyFont="1" applyFill="1" applyBorder="1" applyAlignment="1">
      <alignment horizontal="center" vertical="center"/>
    </xf>
    <xf numFmtId="0" fontId="0" fillId="10" borderId="18" xfId="0" applyFill="1" applyBorder="1" applyAlignment="1">
      <alignment horizontal="center" vertical="center"/>
    </xf>
    <xf numFmtId="0" fontId="0" fillId="10" borderId="20" xfId="0" applyFill="1" applyBorder="1" applyAlignment="1">
      <alignment horizontal="center" vertical="center"/>
    </xf>
    <xf numFmtId="0" fontId="0" fillId="10" borderId="19" xfId="0" applyFill="1" applyBorder="1" applyAlignment="1">
      <alignment horizontal="center" vertical="center"/>
    </xf>
    <xf numFmtId="9" fontId="6" fillId="10" borderId="18" xfId="23" applyFont="1" applyFill="1" applyBorder="1" applyAlignment="1">
      <alignment horizontal="center" vertical="center"/>
    </xf>
    <xf numFmtId="9" fontId="6" fillId="10" borderId="20" xfId="23" applyFont="1" applyFill="1" applyBorder="1" applyAlignment="1">
      <alignment horizontal="center" vertical="center"/>
    </xf>
    <xf numFmtId="9" fontId="6" fillId="10" borderId="19" xfId="23" applyFont="1" applyFill="1" applyBorder="1" applyAlignment="1">
      <alignment horizontal="center" vertical="center"/>
    </xf>
    <xf numFmtId="4" fontId="0" fillId="10" borderId="18" xfId="0" applyNumberFormat="1" applyFill="1" applyBorder="1" applyAlignment="1">
      <alignment horizontal="center" vertical="center" wrapText="1"/>
    </xf>
    <xf numFmtId="4" fontId="0" fillId="10" borderId="20" xfId="0" applyNumberFormat="1" applyFill="1" applyBorder="1" applyAlignment="1">
      <alignment horizontal="center" vertical="center" wrapText="1"/>
    </xf>
    <xf numFmtId="4" fontId="0" fillId="10" borderId="19" xfId="0" applyNumberFormat="1" applyFill="1" applyBorder="1" applyAlignment="1">
      <alignment horizontal="center" vertical="center" wrapText="1"/>
    </xf>
    <xf numFmtId="9" fontId="6" fillId="10" borderId="18" xfId="0" applyNumberFormat="1" applyFont="1" applyFill="1" applyBorder="1" applyAlignment="1">
      <alignment horizontal="center"/>
    </xf>
    <xf numFmtId="9" fontId="6" fillId="10" borderId="20" xfId="0" applyNumberFormat="1" applyFont="1" applyFill="1" applyBorder="1" applyAlignment="1">
      <alignment horizontal="center"/>
    </xf>
    <xf numFmtId="9" fontId="6" fillId="10" borderId="19" xfId="0" applyNumberFormat="1" applyFont="1" applyFill="1" applyBorder="1" applyAlignment="1">
      <alignment horizontal="center"/>
    </xf>
    <xf numFmtId="0" fontId="63" fillId="20" borderId="8" xfId="0" applyFont="1" applyFill="1" applyBorder="1" applyAlignment="1">
      <alignment horizontal="center"/>
    </xf>
    <xf numFmtId="0" fontId="63" fillId="20" borderId="6" xfId="0" applyFont="1" applyFill="1" applyBorder="1" applyAlignment="1">
      <alignment horizontal="center"/>
    </xf>
    <xf numFmtId="0" fontId="63" fillId="20" borderId="9" xfId="0" applyFont="1" applyFill="1" applyBorder="1" applyAlignment="1">
      <alignment horizontal="center"/>
    </xf>
    <xf numFmtId="0" fontId="63" fillId="20" borderId="10" xfId="0" applyFont="1" applyFill="1" applyBorder="1" applyAlignment="1">
      <alignment horizontal="center"/>
    </xf>
    <xf numFmtId="0" fontId="63" fillId="20" borderId="8" xfId="0" applyFont="1" applyFill="1" applyBorder="1" applyAlignment="1">
      <alignment horizontal="center" wrapText="1"/>
    </xf>
  </cellXfs>
  <cellStyles count="68">
    <cellStyle name="60% - Accent1 4 2" xfId="31" xr:uid="{00000000-0005-0000-0000-000000000000}"/>
    <cellStyle name="Accent1" xfId="67" builtinId="29"/>
    <cellStyle name="Calculation - 1" xfId="3" xr:uid="{00000000-0005-0000-0000-000001000000}"/>
    <cellStyle name="Calculation - 2" xfId="1" xr:uid="{00000000-0005-0000-0000-000002000000}"/>
    <cellStyle name="Calculation - 3" xfId="11" xr:uid="{00000000-0005-0000-0000-000003000000}"/>
    <cellStyle name="Comma" xfId="22" builtinId="3"/>
    <cellStyle name="Comma 141" xfId="32" xr:uid="{00000000-0005-0000-0000-000005000000}"/>
    <cellStyle name="Comma 2" xfId="20" xr:uid="{00000000-0005-0000-0000-000006000000}"/>
    <cellStyle name="Comma 5" xfId="16" xr:uid="{00000000-0005-0000-0000-000007000000}"/>
    <cellStyle name="Free Entry" xfId="2" xr:uid="{00000000-0005-0000-0000-000008000000}"/>
    <cellStyle name="Heading - 1" xfId="5" xr:uid="{00000000-0005-0000-0000-000009000000}"/>
    <cellStyle name="Heading - 2" xfId="9" xr:uid="{00000000-0005-0000-0000-00000A000000}"/>
    <cellStyle name="Hyperlink" xfId="26" builtinId="8"/>
    <cellStyle name="Linked Cell 2 8" xfId="33" xr:uid="{00000000-0005-0000-0000-00000C000000}"/>
    <cellStyle name="Listed Input" xfId="12" xr:uid="{00000000-0005-0000-0000-00000D000000}"/>
    <cellStyle name="Listed Input 2" xfId="21" xr:uid="{00000000-0005-0000-0000-00000E000000}"/>
    <cellStyle name="Named Range" xfId="8" xr:uid="{00000000-0005-0000-0000-00000F000000}"/>
    <cellStyle name="Normal" xfId="0" builtinId="0" customBuiltin="1"/>
    <cellStyle name="Normal - Style1 2" xfId="34" xr:uid="{00000000-0005-0000-0000-000011000000}"/>
    <cellStyle name="Normal 10 10" xfId="35" xr:uid="{00000000-0005-0000-0000-000012000000}"/>
    <cellStyle name="Normal 10 10 4" xfId="36" xr:uid="{00000000-0005-0000-0000-000013000000}"/>
    <cellStyle name="Normal 10 10 5" xfId="37" xr:uid="{00000000-0005-0000-0000-000014000000}"/>
    <cellStyle name="Normal 10 13" xfId="38" xr:uid="{00000000-0005-0000-0000-000015000000}"/>
    <cellStyle name="Normal 119" xfId="39" xr:uid="{00000000-0005-0000-0000-000016000000}"/>
    <cellStyle name="Normal 119 2" xfId="40" xr:uid="{00000000-0005-0000-0000-000017000000}"/>
    <cellStyle name="Normal 134 2 2" xfId="41" xr:uid="{00000000-0005-0000-0000-000018000000}"/>
    <cellStyle name="Normal 155 2" xfId="42" xr:uid="{00000000-0005-0000-0000-000019000000}"/>
    <cellStyle name="Normal 156" xfId="43" xr:uid="{00000000-0005-0000-0000-00001A000000}"/>
    <cellStyle name="Normal 157" xfId="44" xr:uid="{00000000-0005-0000-0000-00001B000000}"/>
    <cellStyle name="Normal 164" xfId="45" xr:uid="{00000000-0005-0000-0000-00001C000000}"/>
    <cellStyle name="Normal 165" xfId="46" xr:uid="{00000000-0005-0000-0000-00001D000000}"/>
    <cellStyle name="Normal 166" xfId="47" xr:uid="{00000000-0005-0000-0000-00001E000000}"/>
    <cellStyle name="Normal 167" xfId="48" xr:uid="{00000000-0005-0000-0000-00001F000000}"/>
    <cellStyle name="Normal 168" xfId="49" xr:uid="{00000000-0005-0000-0000-000020000000}"/>
    <cellStyle name="Normal 169" xfId="50" xr:uid="{00000000-0005-0000-0000-000021000000}"/>
    <cellStyle name="Normal 170" xfId="51" xr:uid="{00000000-0005-0000-0000-000022000000}"/>
    <cellStyle name="Normal 2" xfId="13" xr:uid="{00000000-0005-0000-0000-000023000000}"/>
    <cellStyle name="Normal 2 10" xfId="52" xr:uid="{00000000-0005-0000-0000-000024000000}"/>
    <cellStyle name="Normal 2 2" xfId="30" xr:uid="{00000000-0005-0000-0000-000025000000}"/>
    <cellStyle name="Normal 2 2 9 3" xfId="53" xr:uid="{00000000-0005-0000-0000-000026000000}"/>
    <cellStyle name="Normal 2 24" xfId="54" xr:uid="{00000000-0005-0000-0000-000027000000}"/>
    <cellStyle name="Normal 2 25" xfId="55" xr:uid="{00000000-0005-0000-0000-000028000000}"/>
    <cellStyle name="Normal 2 61" xfId="17" xr:uid="{00000000-0005-0000-0000-000029000000}"/>
    <cellStyle name="Normal 3" xfId="24" xr:uid="{00000000-0005-0000-0000-00002A000000}"/>
    <cellStyle name="Normal 3 2" xfId="56" xr:uid="{00000000-0005-0000-0000-00002B000000}"/>
    <cellStyle name="Normal 3 2 2" xfId="29" xr:uid="{00000000-0005-0000-0000-00002C000000}"/>
    <cellStyle name="Normal 4" xfId="14" xr:uid="{00000000-0005-0000-0000-00002D000000}"/>
    <cellStyle name="Normal 4 2" xfId="15" xr:uid="{00000000-0005-0000-0000-00002E000000}"/>
    <cellStyle name="Normal 5" xfId="28" xr:uid="{00000000-0005-0000-0000-00002F000000}"/>
    <cellStyle name="Normal 56" xfId="27" xr:uid="{00000000-0005-0000-0000-000030000000}"/>
    <cellStyle name="Normal 83" xfId="57" xr:uid="{00000000-0005-0000-0000-000031000000}"/>
    <cellStyle name="Normal_Conversion_gal and bbl_final1_updated" xfId="18" xr:uid="{00000000-0005-0000-0000-000032000000}"/>
    <cellStyle name="Normal_European Ethanol SD model_15_clean" xfId="19" xr:uid="{00000000-0005-0000-0000-000034000000}"/>
    <cellStyle name="Percent" xfId="23" builtinId="5"/>
    <cellStyle name="Percent 2" xfId="25" xr:uid="{00000000-0005-0000-0000-000036000000}"/>
    <cellStyle name="Percent 2 14" xfId="58" xr:uid="{00000000-0005-0000-0000-000037000000}"/>
    <cellStyle name="Percent 2 21 2" xfId="59" xr:uid="{00000000-0005-0000-0000-000038000000}"/>
    <cellStyle name="Percent 7 2 2 2 2" xfId="60" xr:uid="{00000000-0005-0000-0000-000039000000}"/>
    <cellStyle name="Percent 87" xfId="61" xr:uid="{00000000-0005-0000-0000-00003A000000}"/>
    <cellStyle name="Percent 90" xfId="62" xr:uid="{00000000-0005-0000-0000-00003B000000}"/>
    <cellStyle name="Percent 92" xfId="63" xr:uid="{00000000-0005-0000-0000-00003C000000}"/>
    <cellStyle name="Percent 98" xfId="64" xr:uid="{00000000-0005-0000-0000-00003D000000}"/>
    <cellStyle name="Reference" xfId="7" xr:uid="{00000000-0005-0000-0000-00003E000000}"/>
    <cellStyle name="Sheet Title" xfId="4" xr:uid="{00000000-0005-0000-0000-00003F000000}"/>
    <cellStyle name="Sub heading - 1" xfId="10" xr:uid="{00000000-0005-0000-0000-000040000000}"/>
    <cellStyle name="Sub heading - 2" xfId="6" xr:uid="{00000000-0005-0000-0000-000041000000}"/>
    <cellStyle name="Title 1" xfId="65" xr:uid="{00000000-0005-0000-0000-000042000000}"/>
    <cellStyle name="Title 3 2" xfId="66" xr:uid="{00000000-0005-0000-0000-000043000000}"/>
  </cellStyles>
  <dxfs count="153">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strike val="0"/>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fgColor theme="0"/>
          <bgColor theme="0"/>
        </patternFill>
      </fill>
    </dxf>
    <dxf>
      <font>
        <color theme="0"/>
      </font>
      <fill>
        <patternFill>
          <fgColor theme="0"/>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fgColor theme="0"/>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f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7" tint="-0.499984740745262"/>
      </font>
      <fill>
        <patternFill>
          <bgColor theme="0"/>
        </patternFill>
      </fill>
      <border>
        <right style="thin">
          <color auto="1"/>
        </right>
        <top style="thin">
          <color auto="1"/>
        </top>
        <bottom style="thin">
          <color auto="1"/>
        </bottom>
        <vertical/>
        <horizontal/>
      </border>
    </dxf>
    <dxf>
      <fill>
        <patternFill>
          <bgColor theme="7" tint="0.79998168889431442"/>
        </patternFill>
      </fill>
    </dxf>
    <dxf>
      <fill>
        <patternFill>
          <bgColor rgb="FFFF0000"/>
        </patternFill>
      </fill>
    </dxf>
    <dxf>
      <fill>
        <patternFill patternType="solid">
          <fgColor theme="7" tint="0.59999389629810485"/>
          <bgColor theme="7" tint="0.59999389629810485"/>
        </patternFill>
      </fill>
    </dxf>
    <dxf>
      <fill>
        <patternFill patternType="solid">
          <fgColor theme="7" tint="0.59999389629810485"/>
          <bgColor theme="7" tint="0.59999389629810485"/>
        </patternFill>
      </fill>
    </dxf>
    <dxf>
      <font>
        <b/>
        <color theme="0"/>
      </font>
      <fill>
        <patternFill patternType="solid">
          <fgColor theme="7"/>
          <bgColor theme="7"/>
        </patternFill>
      </fill>
    </dxf>
    <dxf>
      <font>
        <b/>
        <color theme="0"/>
      </font>
      <fill>
        <patternFill patternType="solid">
          <fgColor theme="7"/>
          <bgColor theme="7"/>
        </patternFill>
      </fill>
    </dxf>
    <dxf>
      <font>
        <b/>
        <color theme="0"/>
      </font>
      <fill>
        <patternFill patternType="solid">
          <fgColor theme="7"/>
          <bgColor theme="7"/>
        </patternFill>
      </fill>
      <border>
        <top style="thick">
          <color theme="0"/>
        </top>
      </border>
    </dxf>
    <dxf>
      <font>
        <b/>
        <color theme="0"/>
      </font>
      <fill>
        <patternFill patternType="solid">
          <fgColor theme="7"/>
          <bgColor theme="7"/>
        </patternFill>
      </fill>
      <border>
        <bottom style="thick">
          <color theme="0"/>
        </bottom>
      </border>
    </dxf>
    <dxf>
      <font>
        <color theme="1"/>
      </font>
      <fill>
        <patternFill patternType="solid">
          <fgColor theme="7" tint="0.79998168889431442"/>
          <bgColor theme="7" tint="0.79998168889431442"/>
        </patternFill>
      </fill>
      <border>
        <vertical style="thin">
          <color theme="0"/>
        </vertical>
        <horizontal style="thin">
          <color theme="0"/>
        </horizontal>
      </border>
    </dxf>
    <dxf>
      <fill>
        <patternFill patternType="solid">
          <fgColor theme="6" tint="0.59999389629810485"/>
          <bgColor theme="6" tint="0.59999389629810485"/>
        </patternFill>
      </fill>
    </dxf>
    <dxf>
      <fill>
        <patternFill patternType="solid">
          <fgColor theme="6" tint="0.59999389629810485"/>
          <bgColor theme="6" tint="0.59999389629810485"/>
        </patternFill>
      </fill>
    </dxf>
    <dxf>
      <font>
        <b/>
        <color theme="0"/>
      </font>
      <fill>
        <patternFill patternType="solid">
          <fgColor theme="6"/>
          <bgColor theme="6"/>
        </patternFill>
      </fill>
    </dxf>
    <dxf>
      <font>
        <b/>
        <color theme="0"/>
      </font>
      <fill>
        <patternFill patternType="solid">
          <fgColor theme="6"/>
          <bgColor theme="6"/>
        </patternFill>
      </fill>
    </dxf>
    <dxf>
      <font>
        <b/>
        <color theme="0"/>
      </font>
      <fill>
        <patternFill patternType="solid">
          <fgColor theme="6"/>
          <bgColor theme="6"/>
        </patternFill>
      </fill>
      <border>
        <top style="thick">
          <color theme="0"/>
        </top>
      </border>
    </dxf>
    <dxf>
      <font>
        <b/>
        <color theme="0"/>
      </font>
      <fill>
        <patternFill patternType="solid">
          <fgColor theme="6"/>
          <bgColor theme="6"/>
        </patternFill>
      </fill>
      <border>
        <bottom style="thick">
          <color theme="0"/>
        </bottom>
      </border>
    </dxf>
    <dxf>
      <font>
        <color theme="1"/>
      </font>
      <fill>
        <patternFill patternType="solid">
          <fgColor theme="6" tint="0.79998168889431442"/>
          <bgColor theme="6" tint="0.79998168889431442"/>
        </patternFill>
      </fill>
      <border>
        <vertical style="thin">
          <color theme="0"/>
        </vertical>
        <horizontal style="thin">
          <color theme="0"/>
        </horizontal>
      </border>
    </dxf>
    <dxf>
      <fill>
        <patternFill patternType="solid">
          <fgColor theme="7" tint="0.79998168889431442"/>
          <bgColor theme="7" tint="0.79998168889431442"/>
        </patternFill>
      </fill>
    </dxf>
    <dxf>
      <fill>
        <patternFill patternType="solid">
          <fgColor theme="7" tint="0.79995117038483843"/>
          <bgColor theme="7" tint="0.59996337778862885"/>
        </patternFill>
      </fill>
    </dxf>
    <dxf>
      <font>
        <b/>
        <color theme="7" tint="-0.249977111117893"/>
      </font>
    </dxf>
    <dxf>
      <font>
        <b/>
        <color theme="7" tint="-0.249977111117893"/>
      </font>
    </dxf>
    <dxf>
      <font>
        <b/>
        <color theme="7" tint="-0.249977111117893"/>
      </font>
      <border>
        <top style="thin">
          <color theme="7"/>
        </top>
      </border>
    </dxf>
    <dxf>
      <font>
        <b/>
        <i val="0"/>
        <color theme="7" tint="-0.499984740745262"/>
      </font>
      <border>
        <bottom style="thin">
          <color theme="7"/>
        </bottom>
      </border>
    </dxf>
    <dxf>
      <font>
        <color theme="7" tint="-0.499984740745262"/>
      </font>
      <border>
        <top style="thin">
          <color theme="7"/>
        </top>
        <bottom style="thin">
          <color theme="7"/>
        </bottom>
      </border>
    </dxf>
    <dxf>
      <fill>
        <patternFill patternType="solid">
          <fgColor theme="6" tint="0.79998168889431442"/>
          <bgColor theme="6" tint="0.79998168889431442"/>
        </patternFill>
      </fill>
    </dxf>
    <dxf>
      <fill>
        <patternFill patternType="solid">
          <fgColor theme="6" tint="0.79995117038483843"/>
          <bgColor theme="6" tint="0.59996337778862885"/>
        </patternFill>
      </fill>
    </dxf>
    <dxf>
      <font>
        <b/>
        <color theme="6" tint="-0.249977111117893"/>
      </font>
    </dxf>
    <dxf>
      <font>
        <b/>
        <color theme="6" tint="-0.249977111117893"/>
      </font>
    </dxf>
    <dxf>
      <font>
        <b/>
        <color theme="6" tint="-0.249977111117893"/>
      </font>
      <border>
        <top style="thin">
          <color theme="6"/>
        </top>
      </border>
    </dxf>
    <dxf>
      <font>
        <b/>
        <i val="0"/>
        <color theme="5"/>
      </font>
      <border>
        <bottom style="thin">
          <color theme="6"/>
        </bottom>
      </border>
    </dxf>
    <dxf>
      <font>
        <color auto="1"/>
      </font>
      <border>
        <top style="thin">
          <color theme="6"/>
        </top>
        <bottom style="thin">
          <color theme="6"/>
        </bottom>
      </border>
    </dxf>
    <dxf>
      <border>
        <left style="thin">
          <color theme="7"/>
        </left>
      </border>
    </dxf>
    <dxf>
      <border>
        <left style="thin">
          <color theme="7"/>
        </left>
      </border>
    </dxf>
    <dxf>
      <border>
        <top style="thin">
          <color theme="7"/>
        </top>
      </border>
    </dxf>
    <dxf>
      <border>
        <top style="thin">
          <color theme="7"/>
        </top>
      </border>
    </dxf>
    <dxf>
      <font>
        <b/>
        <color theme="1"/>
      </font>
    </dxf>
    <dxf>
      <font>
        <b/>
        <color theme="1"/>
      </font>
    </dxf>
    <dxf>
      <font>
        <b/>
        <color theme="1"/>
      </font>
      <border>
        <top style="double">
          <color theme="7"/>
        </top>
      </border>
    </dxf>
    <dxf>
      <font>
        <b/>
        <color theme="0"/>
      </font>
      <fill>
        <patternFill patternType="solid">
          <fgColor theme="7"/>
          <bgColor theme="7"/>
        </patternFill>
      </fill>
    </dxf>
    <dxf>
      <font>
        <color theme="1"/>
      </font>
      <border>
        <left style="thin">
          <color theme="7"/>
        </left>
        <right style="thin">
          <color theme="7"/>
        </right>
        <top style="thin">
          <color theme="7"/>
        </top>
        <bottom style="thin">
          <color theme="7"/>
        </bottom>
      </border>
    </dxf>
    <dxf>
      <border>
        <left style="thin">
          <color theme="6"/>
        </left>
      </border>
    </dxf>
    <dxf>
      <border>
        <left style="thin">
          <color theme="6"/>
        </left>
      </border>
    </dxf>
    <dxf>
      <border>
        <top style="thin">
          <color theme="6"/>
        </top>
      </border>
    </dxf>
    <dxf>
      <border>
        <top style="thin">
          <color theme="6"/>
        </top>
      </border>
    </dxf>
    <dxf>
      <font>
        <b/>
        <color theme="1"/>
      </font>
    </dxf>
    <dxf>
      <font>
        <b/>
        <color theme="1"/>
      </font>
    </dxf>
    <dxf>
      <font>
        <b/>
        <color theme="1"/>
      </font>
      <border>
        <top style="double">
          <color theme="6"/>
        </top>
      </border>
    </dxf>
    <dxf>
      <font>
        <b/>
        <i val="0"/>
        <color theme="0"/>
      </font>
      <fill>
        <patternFill patternType="solid">
          <fgColor theme="6"/>
          <bgColor theme="6"/>
        </patternFill>
      </fill>
    </dxf>
    <dxf>
      <font>
        <color theme="1"/>
      </font>
      <border>
        <left style="thin">
          <color theme="6"/>
        </left>
        <right style="thin">
          <color theme="6"/>
        </right>
        <top style="thin">
          <color theme="6"/>
        </top>
        <bottom style="thin">
          <color theme="6"/>
        </bottom>
      </border>
    </dxf>
  </dxfs>
  <tableStyles count="6" defaultTableStyle="TableStyleMedium2" defaultPivotStyle="PivotStyleLight16">
    <tableStyle name="E4tech Table Style_1" pivot="0" count="9" xr9:uid="{00000000-0011-0000-FFFF-FFFF00000000}">
      <tableStyleElement type="wholeTable" dxfId="152"/>
      <tableStyleElement type="headerRow" dxfId="151"/>
      <tableStyleElement type="totalRow" dxfId="150"/>
      <tableStyleElement type="firstColumn" dxfId="149"/>
      <tableStyleElement type="lastColumn" dxfId="148"/>
      <tableStyleElement type="firstRowStripe" dxfId="147"/>
      <tableStyleElement type="secondRowStripe" dxfId="146"/>
      <tableStyleElement type="firstColumnStripe" dxfId="145"/>
      <tableStyleElement type="secondColumnStripe" dxfId="144"/>
    </tableStyle>
    <tableStyle name="E4tech Table Style_2" pivot="0" count="9" xr9:uid="{00000000-0011-0000-FFFF-FFFF01000000}">
      <tableStyleElement type="wholeTable" dxfId="143"/>
      <tableStyleElement type="headerRow" dxfId="142"/>
      <tableStyleElement type="totalRow" dxfId="141"/>
      <tableStyleElement type="firstColumn" dxfId="140"/>
      <tableStyleElement type="lastColumn" dxfId="139"/>
      <tableStyleElement type="firstRowStripe" dxfId="138"/>
      <tableStyleElement type="secondRowStripe" dxfId="137"/>
      <tableStyleElement type="firstColumnStripe" dxfId="136"/>
      <tableStyleElement type="secondColumnStripe" dxfId="135"/>
    </tableStyle>
    <tableStyle name="E4tech Table Style_3" pivot="0" count="7" xr9:uid="{00000000-0011-0000-FFFF-FFFF02000000}">
      <tableStyleElement type="wholeTable" dxfId="134"/>
      <tableStyleElement type="headerRow" dxfId="133"/>
      <tableStyleElement type="totalRow" dxfId="132"/>
      <tableStyleElement type="firstColumn" dxfId="131"/>
      <tableStyleElement type="lastColumn" dxfId="130"/>
      <tableStyleElement type="firstRowStripe" dxfId="129"/>
      <tableStyleElement type="firstColumnStripe" dxfId="128"/>
    </tableStyle>
    <tableStyle name="E4tech Table Style_4" pivot="0" count="7" xr9:uid="{00000000-0011-0000-FFFF-FFFF03000000}">
      <tableStyleElement type="wholeTable" dxfId="127"/>
      <tableStyleElement type="headerRow" dxfId="126"/>
      <tableStyleElement type="totalRow" dxfId="125"/>
      <tableStyleElement type="firstColumn" dxfId="124"/>
      <tableStyleElement type="lastColumn" dxfId="123"/>
      <tableStyleElement type="firstRowStripe" dxfId="122"/>
      <tableStyleElement type="firstColumnStripe" dxfId="121"/>
    </tableStyle>
    <tableStyle name="E4tech Table Style_5" pivot="0" count="7" xr9:uid="{00000000-0011-0000-FFFF-FFFF04000000}">
      <tableStyleElement type="wholeTable" dxfId="120"/>
      <tableStyleElement type="headerRow" dxfId="119"/>
      <tableStyleElement type="totalRow" dxfId="118"/>
      <tableStyleElement type="firstColumn" dxfId="117"/>
      <tableStyleElement type="lastColumn" dxfId="116"/>
      <tableStyleElement type="firstRowStripe" dxfId="115"/>
      <tableStyleElement type="firstColumnStripe" dxfId="114"/>
    </tableStyle>
    <tableStyle name="E4tech Table Style_6" pivot="0" count="7" xr9:uid="{00000000-0011-0000-FFFF-FFFF05000000}">
      <tableStyleElement type="wholeTable" dxfId="113"/>
      <tableStyleElement type="headerRow" dxfId="112"/>
      <tableStyleElement type="totalRow" dxfId="111"/>
      <tableStyleElement type="firstColumn" dxfId="110"/>
      <tableStyleElement type="lastColumn" dxfId="109"/>
      <tableStyleElement type="firstRowStripe" dxfId="108"/>
      <tableStyleElement type="firstColumnStripe" dxfId="107"/>
    </tableStyle>
  </tableStyles>
  <colors>
    <mruColors>
      <color rgb="FFFFDF9F"/>
      <color rgb="FFC7E8FA"/>
      <color rgb="FFFF66CC"/>
      <color rgb="FF996633"/>
      <color rgb="FF5B9BD5"/>
      <color rgb="FFCCFF66"/>
      <color rgb="FFFF9900"/>
      <color rgb="FF99CC00"/>
      <color rgb="FFE2B700"/>
      <color rgb="FFEA8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8.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27213</xdr:colOff>
      <xdr:row>0</xdr:row>
      <xdr:rowOff>326572</xdr:rowOff>
    </xdr:from>
    <xdr:to>
      <xdr:col>4</xdr:col>
      <xdr:colOff>65608</xdr:colOff>
      <xdr:row>42</xdr:row>
      <xdr:rowOff>80411</xdr:rowOff>
    </xdr:to>
    <xdr:sp macro="" textlink="">
      <xdr:nvSpPr>
        <xdr:cNvPr id="3" name="Rectangle 1">
          <a:extLst>
            <a:ext uri="{FF2B5EF4-FFF2-40B4-BE49-F238E27FC236}">
              <a16:creationId xmlns:a16="http://schemas.microsoft.com/office/drawing/2014/main" id="{B7EDEF2B-31E4-4C97-8515-C473C602F68D}"/>
            </a:ext>
          </a:extLst>
        </xdr:cNvPr>
        <xdr:cNvSpPr/>
      </xdr:nvSpPr>
      <xdr:spPr>
        <a:xfrm>
          <a:off x="367392" y="326572"/>
          <a:ext cx="18557716" cy="225866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238125</xdr:colOff>
      <xdr:row>2</xdr:row>
      <xdr:rowOff>76014</xdr:rowOff>
    </xdr:from>
    <xdr:to>
      <xdr:col>2</xdr:col>
      <xdr:colOff>916754</xdr:colOff>
      <xdr:row>7</xdr:row>
      <xdr:rowOff>2989</xdr:rowOff>
    </xdr:to>
    <xdr:pic>
      <xdr:nvPicPr>
        <xdr:cNvPr id="16" name="Picture 15" descr="DESNZ Logo">
          <a:extLst>
            <a:ext uri="{FF2B5EF4-FFF2-40B4-BE49-F238E27FC236}">
              <a16:creationId xmlns:a16="http://schemas.microsoft.com/office/drawing/2014/main" id="{E368B558-1869-448C-B4EC-A7EB984ADC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0" y="457014"/>
          <a:ext cx="1469204" cy="876300"/>
        </a:xfrm>
        <a:prstGeom prst="rect">
          <a:avLst/>
        </a:prstGeom>
      </xdr:spPr>
    </xdr:pic>
    <xdr:clientData/>
  </xdr:twoCellAnchor>
  <xdr:twoCellAnchor editAs="oneCell">
    <xdr:from>
      <xdr:col>2</xdr:col>
      <xdr:colOff>1091453</xdr:colOff>
      <xdr:row>2</xdr:row>
      <xdr:rowOff>57150</xdr:rowOff>
    </xdr:from>
    <xdr:to>
      <xdr:col>2</xdr:col>
      <xdr:colOff>2828924</xdr:colOff>
      <xdr:row>6</xdr:row>
      <xdr:rowOff>2863</xdr:rowOff>
    </xdr:to>
    <xdr:pic>
      <xdr:nvPicPr>
        <xdr:cNvPr id="17" name="Picture 16">
          <a:extLst>
            <a:ext uri="{FF2B5EF4-FFF2-40B4-BE49-F238E27FC236}">
              <a16:creationId xmlns:a16="http://schemas.microsoft.com/office/drawing/2014/main" id="{ABC67B81-5C1A-4A10-8F26-BB4009B1BB61}"/>
            </a:ext>
          </a:extLst>
        </xdr:cNvPr>
        <xdr:cNvPicPr>
          <a:picLocks noChangeAspect="1"/>
        </xdr:cNvPicPr>
      </xdr:nvPicPr>
      <xdr:blipFill>
        <a:blip xmlns:r="http://schemas.openxmlformats.org/officeDocument/2006/relationships" r:embed="rId2"/>
        <a:stretch>
          <a:fillRect/>
        </a:stretch>
      </xdr:blipFill>
      <xdr:spPr>
        <a:xfrm>
          <a:off x="2215403" y="438150"/>
          <a:ext cx="1737471" cy="7013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830036</xdr:colOff>
      <xdr:row>22</xdr:row>
      <xdr:rowOff>149678</xdr:rowOff>
    </xdr:from>
    <xdr:to>
      <xdr:col>19</xdr:col>
      <xdr:colOff>657226</xdr:colOff>
      <xdr:row>25</xdr:row>
      <xdr:rowOff>125640</xdr:rowOff>
    </xdr:to>
    <xdr:cxnSp macro="">
      <xdr:nvCxnSpPr>
        <xdr:cNvPr id="39" name="Straight Arrow Connector 5">
          <a:extLst>
            <a:ext uri="{FF2B5EF4-FFF2-40B4-BE49-F238E27FC236}">
              <a16:creationId xmlns:a16="http://schemas.microsoft.com/office/drawing/2014/main" id="{F21CD3C9-0BFE-400C-AEC6-C336F9681EDD}"/>
            </a:ext>
          </a:extLst>
        </xdr:cNvPr>
        <xdr:cNvCxnSpPr/>
      </xdr:nvCxnSpPr>
      <xdr:spPr>
        <a:xfrm flipH="1">
          <a:off x="18070286" y="5143499"/>
          <a:ext cx="1283154" cy="50664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284625</xdr:colOff>
      <xdr:row>24</xdr:row>
      <xdr:rowOff>34128</xdr:rowOff>
    </xdr:from>
    <xdr:to>
      <xdr:col>21</xdr:col>
      <xdr:colOff>495300</xdr:colOff>
      <xdr:row>25</xdr:row>
      <xdr:rowOff>171450</xdr:rowOff>
    </xdr:to>
    <xdr:cxnSp macro="">
      <xdr:nvCxnSpPr>
        <xdr:cNvPr id="3" name="Straight Arrow Connector 5">
          <a:extLst>
            <a:ext uri="{FF2B5EF4-FFF2-40B4-BE49-F238E27FC236}">
              <a16:creationId xmlns:a16="http://schemas.microsoft.com/office/drawing/2014/main" id="{0541098A-F633-414B-9282-1105241BA1B6}"/>
            </a:ext>
          </a:extLst>
        </xdr:cNvPr>
        <xdr:cNvCxnSpPr>
          <a:stCxn id="2" idx="2"/>
        </xdr:cNvCxnSpPr>
      </xdr:nvCxnSpPr>
      <xdr:spPr>
        <a:xfrm>
          <a:off x="22877925" y="5892003"/>
          <a:ext cx="1725150" cy="32782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869950</xdr:colOff>
      <xdr:row>20</xdr:row>
      <xdr:rowOff>111125</xdr:rowOff>
    </xdr:from>
    <xdr:to>
      <xdr:col>21</xdr:col>
      <xdr:colOff>947074</xdr:colOff>
      <xdr:row>24</xdr:row>
      <xdr:rowOff>34128</xdr:rowOff>
    </xdr:to>
    <xdr:sp macro="" textlink="">
      <xdr:nvSpPr>
        <xdr:cNvPr id="2" name="TextBox 27">
          <a:extLst>
            <a:ext uri="{FF2B5EF4-FFF2-40B4-BE49-F238E27FC236}">
              <a16:creationId xmlns:a16="http://schemas.microsoft.com/office/drawing/2014/main" id="{BB3C479F-C558-462E-95A5-D1FE6C59DB1B}"/>
            </a:ext>
          </a:extLst>
        </xdr:cNvPr>
        <xdr:cNvSpPr txBox="1"/>
      </xdr:nvSpPr>
      <xdr:spPr>
        <a:xfrm>
          <a:off x="20701000" y="5207000"/>
          <a:ext cx="4353849" cy="6850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3</xdr:row>
      <xdr:rowOff>186266</xdr:rowOff>
    </xdr:from>
    <xdr:to>
      <xdr:col>2</xdr:col>
      <xdr:colOff>2376049</xdr:colOff>
      <xdr:row>4</xdr:row>
      <xdr:rowOff>819663</xdr:rowOff>
    </xdr:to>
    <xdr:sp macro="" textlink="">
      <xdr:nvSpPr>
        <xdr:cNvPr id="13" name="TextBox 17">
          <a:extLst>
            <a:ext uri="{FF2B5EF4-FFF2-40B4-BE49-F238E27FC236}">
              <a16:creationId xmlns:a16="http://schemas.microsoft.com/office/drawing/2014/main" id="{D7E8137F-0CE8-46C2-A43F-6524C45C7ED7}"/>
            </a:ext>
          </a:extLst>
        </xdr:cNvPr>
        <xdr:cNvSpPr txBox="1"/>
      </xdr:nvSpPr>
      <xdr:spPr>
        <a:xfrm>
          <a:off x="287867" y="1049866"/>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13</xdr:col>
      <xdr:colOff>438150</xdr:colOff>
      <xdr:row>1</xdr:row>
      <xdr:rowOff>52707</xdr:rowOff>
    </xdr:from>
    <xdr:to>
      <xdr:col>14</xdr:col>
      <xdr:colOff>263525</xdr:colOff>
      <xdr:row>4</xdr:row>
      <xdr:rowOff>361950</xdr:rowOff>
    </xdr:to>
    <xdr:cxnSp macro="">
      <xdr:nvCxnSpPr>
        <xdr:cNvPr id="9" name="Straight Arrow Connector 20">
          <a:extLst>
            <a:ext uri="{FF2B5EF4-FFF2-40B4-BE49-F238E27FC236}">
              <a16:creationId xmlns:a16="http://schemas.microsoft.com/office/drawing/2014/main" id="{8E3D9793-FEFB-43AE-8BC1-1CAEEDE908BB}"/>
            </a:ext>
          </a:extLst>
        </xdr:cNvPr>
        <xdr:cNvCxnSpPr>
          <a:cxnSpLocks/>
        </xdr:cNvCxnSpPr>
      </xdr:nvCxnSpPr>
      <xdr:spPr>
        <a:xfrm flipH="1">
          <a:off x="15678150" y="449582"/>
          <a:ext cx="825500" cy="96011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542925</xdr:colOff>
      <xdr:row>2</xdr:row>
      <xdr:rowOff>152400</xdr:rowOff>
    </xdr:from>
    <xdr:to>
      <xdr:col>16</xdr:col>
      <xdr:colOff>550609</xdr:colOff>
      <xdr:row>4</xdr:row>
      <xdr:rowOff>342900</xdr:rowOff>
    </xdr:to>
    <xdr:cxnSp macro="">
      <xdr:nvCxnSpPr>
        <xdr:cNvPr id="14" name="Straight Arrow Connector 13">
          <a:extLst>
            <a:ext uri="{FF2B5EF4-FFF2-40B4-BE49-F238E27FC236}">
              <a16:creationId xmlns:a16="http://schemas.microsoft.com/office/drawing/2014/main" id="{13AAD885-E8AE-479E-AB8A-63FAFFC0A154}"/>
            </a:ext>
          </a:extLst>
        </xdr:cNvPr>
        <xdr:cNvCxnSpPr>
          <a:cxnSpLocks/>
        </xdr:cNvCxnSpPr>
      </xdr:nvCxnSpPr>
      <xdr:spPr>
        <a:xfrm>
          <a:off x="18770600" y="809625"/>
          <a:ext cx="10859" cy="5810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224118</xdr:colOff>
      <xdr:row>0</xdr:row>
      <xdr:rowOff>145676</xdr:rowOff>
    </xdr:from>
    <xdr:to>
      <xdr:col>19</xdr:col>
      <xdr:colOff>139327</xdr:colOff>
      <xdr:row>2</xdr:row>
      <xdr:rowOff>148738</xdr:rowOff>
    </xdr:to>
    <xdr:sp macro="" textlink="">
      <xdr:nvSpPr>
        <xdr:cNvPr id="15" name="TextBox 8">
          <a:extLst>
            <a:ext uri="{FF2B5EF4-FFF2-40B4-BE49-F238E27FC236}">
              <a16:creationId xmlns:a16="http://schemas.microsoft.com/office/drawing/2014/main" id="{CA30F2AC-5F8D-4227-97C5-13528CC16351}"/>
            </a:ext>
          </a:extLst>
        </xdr:cNvPr>
        <xdr:cNvSpPr txBox="1"/>
      </xdr:nvSpPr>
      <xdr:spPr>
        <a:xfrm>
          <a:off x="16450236" y="145676"/>
          <a:ext cx="5899150"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twoCellAnchor>
    <xdr:from>
      <xdr:col>17</xdr:col>
      <xdr:colOff>1132350</xdr:colOff>
      <xdr:row>19</xdr:row>
      <xdr:rowOff>23695</xdr:rowOff>
    </xdr:from>
    <xdr:to>
      <xdr:col>18</xdr:col>
      <xdr:colOff>368988</xdr:colOff>
      <xdr:row>19</xdr:row>
      <xdr:rowOff>102162</xdr:rowOff>
    </xdr:to>
    <xdr:cxnSp macro="">
      <xdr:nvCxnSpPr>
        <xdr:cNvPr id="5" name="Straight Arrow Connector 5">
          <a:extLst>
            <a:ext uri="{FF2B5EF4-FFF2-40B4-BE49-F238E27FC236}">
              <a16:creationId xmlns:a16="http://schemas.microsoft.com/office/drawing/2014/main" id="{67BF7619-675B-4E13-B6E0-880E58A6FCE1}"/>
            </a:ext>
          </a:extLst>
        </xdr:cNvPr>
        <xdr:cNvCxnSpPr>
          <a:stCxn id="12" idx="1"/>
        </xdr:cNvCxnSpPr>
      </xdr:nvCxnSpPr>
      <xdr:spPr>
        <a:xfrm flipH="1">
          <a:off x="19791825" y="4929070"/>
          <a:ext cx="408213" cy="784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372163</xdr:colOff>
      <xdr:row>17</xdr:row>
      <xdr:rowOff>129378</xdr:rowOff>
    </xdr:from>
    <xdr:to>
      <xdr:col>21</xdr:col>
      <xdr:colOff>280062</xdr:colOff>
      <xdr:row>20</xdr:row>
      <xdr:rowOff>88555</xdr:rowOff>
    </xdr:to>
    <xdr:sp macro="" textlink="">
      <xdr:nvSpPr>
        <xdr:cNvPr id="12" name="TextBox 11">
          <a:extLst>
            <a:ext uri="{FF2B5EF4-FFF2-40B4-BE49-F238E27FC236}">
              <a16:creationId xmlns:a16="http://schemas.microsoft.com/office/drawing/2014/main" id="{E6F5504B-780C-48CF-8098-36EB3B62E28C}"/>
            </a:ext>
          </a:extLst>
        </xdr:cNvPr>
        <xdr:cNvSpPr txBox="1"/>
      </xdr:nvSpPr>
      <xdr:spPr>
        <a:xfrm>
          <a:off x="20203213" y="4653753"/>
          <a:ext cx="4184624" cy="53067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0</xdr:colOff>
      <xdr:row>19</xdr:row>
      <xdr:rowOff>16783</xdr:rowOff>
    </xdr:from>
    <xdr:to>
      <xdr:col>18</xdr:col>
      <xdr:colOff>408213</xdr:colOff>
      <xdr:row>19</xdr:row>
      <xdr:rowOff>95250</xdr:rowOff>
    </xdr:to>
    <xdr:cxnSp macro="">
      <xdr:nvCxnSpPr>
        <xdr:cNvPr id="60" name="Straight Arrow Connector 5">
          <a:extLst>
            <a:ext uri="{FF2B5EF4-FFF2-40B4-BE49-F238E27FC236}">
              <a16:creationId xmlns:a16="http://schemas.microsoft.com/office/drawing/2014/main" id="{B050F41C-B29C-4765-8275-FD6159AFF3AD}"/>
            </a:ext>
          </a:extLst>
        </xdr:cNvPr>
        <xdr:cNvCxnSpPr>
          <a:stCxn id="52" idx="1"/>
        </xdr:cNvCxnSpPr>
      </xdr:nvCxnSpPr>
      <xdr:spPr>
        <a:xfrm flipH="1">
          <a:off x="17226643" y="4656819"/>
          <a:ext cx="421820" cy="784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982891</xdr:colOff>
      <xdr:row>24</xdr:row>
      <xdr:rowOff>122464</xdr:rowOff>
    </xdr:from>
    <xdr:to>
      <xdr:col>19</xdr:col>
      <xdr:colOff>503465</xdr:colOff>
      <xdr:row>25</xdr:row>
      <xdr:rowOff>163286</xdr:rowOff>
    </xdr:to>
    <xdr:cxnSp macro="">
      <xdr:nvCxnSpPr>
        <xdr:cNvPr id="57" name="Straight Arrow Connector 5">
          <a:extLst>
            <a:ext uri="{FF2B5EF4-FFF2-40B4-BE49-F238E27FC236}">
              <a16:creationId xmlns:a16="http://schemas.microsoft.com/office/drawing/2014/main" id="{C4E6E06E-E310-44D4-A1C6-7EAD813FA8F5}"/>
            </a:ext>
          </a:extLst>
        </xdr:cNvPr>
        <xdr:cNvCxnSpPr/>
      </xdr:nvCxnSpPr>
      <xdr:spPr>
        <a:xfrm flipH="1">
          <a:off x="18223141" y="5646964"/>
          <a:ext cx="976538" cy="21771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1283843</xdr:colOff>
      <xdr:row>24</xdr:row>
      <xdr:rowOff>106700</xdr:rowOff>
    </xdr:from>
    <xdr:to>
      <xdr:col>21</xdr:col>
      <xdr:colOff>731611</xdr:colOff>
      <xdr:row>25</xdr:row>
      <xdr:rowOff>125639</xdr:rowOff>
    </xdr:to>
    <xdr:cxnSp macro="">
      <xdr:nvCxnSpPr>
        <xdr:cNvPr id="5" name="Straight Arrow Connector 5">
          <a:extLst>
            <a:ext uri="{FF2B5EF4-FFF2-40B4-BE49-F238E27FC236}">
              <a16:creationId xmlns:a16="http://schemas.microsoft.com/office/drawing/2014/main" id="{B44EC19A-A843-46A1-95CA-8788C40EBF29}"/>
            </a:ext>
          </a:extLst>
        </xdr:cNvPr>
        <xdr:cNvCxnSpPr>
          <a:cxnSpLocks/>
          <a:stCxn id="4" idx="2"/>
        </xdr:cNvCxnSpPr>
      </xdr:nvCxnSpPr>
      <xdr:spPr>
        <a:xfrm>
          <a:off x="20959772" y="6025807"/>
          <a:ext cx="2033125" cy="19583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411388</xdr:colOff>
      <xdr:row>17</xdr:row>
      <xdr:rowOff>122466</xdr:rowOff>
    </xdr:from>
    <xdr:to>
      <xdr:col>21</xdr:col>
      <xdr:colOff>326571</xdr:colOff>
      <xdr:row>20</xdr:row>
      <xdr:rowOff>81643</xdr:rowOff>
    </xdr:to>
    <xdr:sp macro="" textlink="">
      <xdr:nvSpPr>
        <xdr:cNvPr id="52" name="TextBox 11">
          <a:extLst>
            <a:ext uri="{FF2B5EF4-FFF2-40B4-BE49-F238E27FC236}">
              <a16:creationId xmlns:a16="http://schemas.microsoft.com/office/drawing/2014/main" id="{54E95E69-E1C1-4466-A5CD-433D5BD13991}"/>
            </a:ext>
          </a:extLst>
        </xdr:cNvPr>
        <xdr:cNvSpPr txBox="1"/>
      </xdr:nvSpPr>
      <xdr:spPr>
        <a:xfrm>
          <a:off x="17651638" y="4408716"/>
          <a:ext cx="3956504"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680358</xdr:colOff>
      <xdr:row>21</xdr:row>
      <xdr:rowOff>0</xdr:rowOff>
    </xdr:from>
    <xdr:to>
      <xdr:col>21</xdr:col>
      <xdr:colOff>761110</xdr:colOff>
      <xdr:row>24</xdr:row>
      <xdr:rowOff>103525</xdr:rowOff>
    </xdr:to>
    <xdr:sp macro="" textlink="">
      <xdr:nvSpPr>
        <xdr:cNvPr id="4" name="TextBox 27">
          <a:extLst>
            <a:ext uri="{FF2B5EF4-FFF2-40B4-BE49-F238E27FC236}">
              <a16:creationId xmlns:a16="http://schemas.microsoft.com/office/drawing/2014/main" id="{95FAA876-F0E6-4FCE-94BD-16A78308C482}"/>
            </a:ext>
          </a:extLst>
        </xdr:cNvPr>
        <xdr:cNvSpPr txBox="1"/>
      </xdr:nvSpPr>
      <xdr:spPr>
        <a:xfrm>
          <a:off x="18900322" y="5388429"/>
          <a:ext cx="4122074" cy="6342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e/kg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B5978980-8C9D-4619-8D20-71CBB2B7161A}"/>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981075</xdr:colOff>
      <xdr:row>20</xdr:row>
      <xdr:rowOff>19050</xdr:rowOff>
    </xdr:from>
    <xdr:to>
      <xdr:col>15</xdr:col>
      <xdr:colOff>284616</xdr:colOff>
      <xdr:row>23</xdr:row>
      <xdr:rowOff>908</xdr:rowOff>
    </xdr:to>
    <xdr:cxnSp macro="">
      <xdr:nvCxnSpPr>
        <xdr:cNvPr id="2" name="Straight Arrow Connector 5">
          <a:extLst>
            <a:ext uri="{FF2B5EF4-FFF2-40B4-BE49-F238E27FC236}">
              <a16:creationId xmlns:a16="http://schemas.microsoft.com/office/drawing/2014/main" id="{F79FAFF2-8B8F-454D-8CCC-0B86E2EA3EC2}"/>
            </a:ext>
          </a:extLst>
        </xdr:cNvPr>
        <xdr:cNvCxnSpPr>
          <a:stCxn id="11" idx="0"/>
        </xdr:cNvCxnSpPr>
      </xdr:nvCxnSpPr>
      <xdr:spPr>
        <a:xfrm flipH="1" flipV="1">
          <a:off x="17224375" y="5029200"/>
          <a:ext cx="732291" cy="53430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xdr:row>
      <xdr:rowOff>82550</xdr:rowOff>
    </xdr:from>
    <xdr:to>
      <xdr:col>14</xdr:col>
      <xdr:colOff>247650</xdr:colOff>
      <xdr:row>19</xdr:row>
      <xdr:rowOff>19050</xdr:rowOff>
    </xdr:to>
    <xdr:cxnSp macro="">
      <xdr:nvCxnSpPr>
        <xdr:cNvPr id="6" name="Straight Arrow Connector 5">
          <a:extLst>
            <a:ext uri="{FF2B5EF4-FFF2-40B4-BE49-F238E27FC236}">
              <a16:creationId xmlns:a16="http://schemas.microsoft.com/office/drawing/2014/main" id="{B7283033-40DC-408A-94BC-FC303A263A4E}"/>
            </a:ext>
          </a:extLst>
        </xdr:cNvPr>
        <xdr:cNvCxnSpPr/>
      </xdr:nvCxnSpPr>
      <xdr:spPr>
        <a:xfrm>
          <a:off x="16271875" y="2698750"/>
          <a:ext cx="219075" cy="214630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15875</xdr:colOff>
      <xdr:row>19</xdr:row>
      <xdr:rowOff>85725</xdr:rowOff>
    </xdr:from>
    <xdr:to>
      <xdr:col>14</xdr:col>
      <xdr:colOff>152400</xdr:colOff>
      <xdr:row>19</xdr:row>
      <xdr:rowOff>88155</xdr:rowOff>
    </xdr:to>
    <xdr:cxnSp macro="">
      <xdr:nvCxnSpPr>
        <xdr:cNvPr id="7" name="Straight Arrow Connector 6">
          <a:extLst>
            <a:ext uri="{FF2B5EF4-FFF2-40B4-BE49-F238E27FC236}">
              <a16:creationId xmlns:a16="http://schemas.microsoft.com/office/drawing/2014/main" id="{033062CA-B7AE-4B86-9D85-79DD553C4E6C}"/>
            </a:ext>
          </a:extLst>
        </xdr:cNvPr>
        <xdr:cNvCxnSpPr/>
      </xdr:nvCxnSpPr>
      <xdr:spPr>
        <a:xfrm flipV="1">
          <a:off x="16259175" y="4911725"/>
          <a:ext cx="136525" cy="243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438150</xdr:colOff>
      <xdr:row>1</xdr:row>
      <xdr:rowOff>43182</xdr:rowOff>
    </xdr:from>
    <xdr:to>
      <xdr:col>14</xdr:col>
      <xdr:colOff>476250</xdr:colOff>
      <xdr:row>4</xdr:row>
      <xdr:rowOff>361950</xdr:rowOff>
    </xdr:to>
    <xdr:cxnSp macro="">
      <xdr:nvCxnSpPr>
        <xdr:cNvPr id="8" name="Straight Arrow Connector 20">
          <a:extLst>
            <a:ext uri="{FF2B5EF4-FFF2-40B4-BE49-F238E27FC236}">
              <a16:creationId xmlns:a16="http://schemas.microsoft.com/office/drawing/2014/main" id="{1C65E388-D1F9-48E5-AAA6-CFAE5620104E}"/>
            </a:ext>
          </a:extLst>
        </xdr:cNvPr>
        <xdr:cNvCxnSpPr>
          <a:cxnSpLocks/>
        </xdr:cNvCxnSpPr>
      </xdr:nvCxnSpPr>
      <xdr:spPr>
        <a:xfrm flipH="1">
          <a:off x="15684500" y="443232"/>
          <a:ext cx="1035050" cy="96646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610506</xdr:colOff>
      <xdr:row>22</xdr:row>
      <xdr:rowOff>178708</xdr:rowOff>
    </xdr:from>
    <xdr:to>
      <xdr:col>16</xdr:col>
      <xdr:colOff>828675</xdr:colOff>
      <xdr:row>26</xdr:row>
      <xdr:rowOff>73025</xdr:rowOff>
    </xdr:to>
    <xdr:sp macro="" textlink="">
      <xdr:nvSpPr>
        <xdr:cNvPr id="11" name="TextBox 10">
          <a:extLst>
            <a:ext uri="{FF2B5EF4-FFF2-40B4-BE49-F238E27FC236}">
              <a16:creationId xmlns:a16="http://schemas.microsoft.com/office/drawing/2014/main" id="{BEE56798-DA57-41B1-AE48-2052E5DFE499}"/>
            </a:ext>
          </a:extLst>
        </xdr:cNvPr>
        <xdr:cNvSpPr txBox="1"/>
      </xdr:nvSpPr>
      <xdr:spPr>
        <a:xfrm>
          <a:off x="16853806" y="5557158"/>
          <a:ext cx="2205719" cy="63091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495549</xdr:colOff>
      <xdr:row>2</xdr:row>
      <xdr:rowOff>86535</xdr:rowOff>
    </xdr:from>
    <xdr:to>
      <xdr:col>16</xdr:col>
      <xdr:colOff>495549</xdr:colOff>
      <xdr:row>4</xdr:row>
      <xdr:rowOff>376518</xdr:rowOff>
    </xdr:to>
    <xdr:cxnSp macro="">
      <xdr:nvCxnSpPr>
        <xdr:cNvPr id="12" name="Straight Arrow Connector 11">
          <a:extLst>
            <a:ext uri="{FF2B5EF4-FFF2-40B4-BE49-F238E27FC236}">
              <a16:creationId xmlns:a16="http://schemas.microsoft.com/office/drawing/2014/main" id="{A56964B1-9CE1-414B-9A64-001F818B10E3}"/>
            </a:ext>
          </a:extLst>
        </xdr:cNvPr>
        <xdr:cNvCxnSpPr>
          <a:cxnSpLocks/>
        </xdr:cNvCxnSpPr>
      </xdr:nvCxnSpPr>
      <xdr:spPr>
        <a:xfrm>
          <a:off x="17898284" y="747682"/>
          <a:ext cx="0" cy="6709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465666</xdr:colOff>
      <xdr:row>0</xdr:row>
      <xdr:rowOff>116416</xdr:rowOff>
    </xdr:from>
    <xdr:to>
      <xdr:col>19</xdr:col>
      <xdr:colOff>396732</xdr:colOff>
      <xdr:row>2</xdr:row>
      <xdr:rowOff>117393</xdr:rowOff>
    </xdr:to>
    <xdr:sp macro="" textlink="">
      <xdr:nvSpPr>
        <xdr:cNvPr id="13" name="TextBox 12">
          <a:extLst>
            <a:ext uri="{FF2B5EF4-FFF2-40B4-BE49-F238E27FC236}">
              <a16:creationId xmlns:a16="http://schemas.microsoft.com/office/drawing/2014/main" id="{44538B55-CC06-44FB-B911-FD5EE99AFCCB}"/>
            </a:ext>
          </a:extLst>
        </xdr:cNvPr>
        <xdr:cNvSpPr txBox="1"/>
      </xdr:nvSpPr>
      <xdr:spPr>
        <a:xfrm>
          <a:off x="16711083" y="116416"/>
          <a:ext cx="5910649" cy="66772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628650</xdr:colOff>
      <xdr:row>20</xdr:row>
      <xdr:rowOff>0</xdr:rowOff>
    </xdr:from>
    <xdr:to>
      <xdr:col>15</xdr:col>
      <xdr:colOff>266065</xdr:colOff>
      <xdr:row>24</xdr:row>
      <xdr:rowOff>28485</xdr:rowOff>
    </xdr:to>
    <xdr:cxnSp macro="">
      <xdr:nvCxnSpPr>
        <xdr:cNvPr id="2" name="Straight Arrow Connector 5">
          <a:extLst>
            <a:ext uri="{FF2B5EF4-FFF2-40B4-BE49-F238E27FC236}">
              <a16:creationId xmlns:a16="http://schemas.microsoft.com/office/drawing/2014/main" id="{5D84927D-57B8-48A3-9CCB-005B1CD76FE4}"/>
            </a:ext>
          </a:extLst>
        </xdr:cNvPr>
        <xdr:cNvCxnSpPr>
          <a:stCxn id="10" idx="0"/>
        </xdr:cNvCxnSpPr>
      </xdr:nvCxnSpPr>
      <xdr:spPr>
        <a:xfrm flipH="1" flipV="1">
          <a:off x="16868775" y="4962525"/>
          <a:ext cx="942340" cy="75238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xdr:colOff>
      <xdr:row>7</xdr:row>
      <xdr:rowOff>104775</xdr:rowOff>
    </xdr:from>
    <xdr:to>
      <xdr:col>14</xdr:col>
      <xdr:colOff>152400</xdr:colOff>
      <xdr:row>19</xdr:row>
      <xdr:rowOff>27214</xdr:rowOff>
    </xdr:to>
    <xdr:cxnSp macro="">
      <xdr:nvCxnSpPr>
        <xdr:cNvPr id="4" name="Straight Arrow Connector 2">
          <a:extLst>
            <a:ext uri="{FF2B5EF4-FFF2-40B4-BE49-F238E27FC236}">
              <a16:creationId xmlns:a16="http://schemas.microsoft.com/office/drawing/2014/main" id="{37657DB9-0467-4E19-8787-4660B5253D52}"/>
            </a:ext>
          </a:extLst>
        </xdr:cNvPr>
        <xdr:cNvCxnSpPr/>
      </xdr:nvCxnSpPr>
      <xdr:spPr>
        <a:xfrm>
          <a:off x="16249650" y="2714625"/>
          <a:ext cx="142875" cy="209413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xdr:colOff>
      <xdr:row>19</xdr:row>
      <xdr:rowOff>95250</xdr:rowOff>
    </xdr:from>
    <xdr:to>
      <xdr:col>14</xdr:col>
      <xdr:colOff>142875</xdr:colOff>
      <xdr:row>19</xdr:row>
      <xdr:rowOff>95250</xdr:rowOff>
    </xdr:to>
    <xdr:cxnSp macro="">
      <xdr:nvCxnSpPr>
        <xdr:cNvPr id="28" name="Straight Arrow Connector 3">
          <a:extLst>
            <a:ext uri="{FF2B5EF4-FFF2-40B4-BE49-F238E27FC236}">
              <a16:creationId xmlns:a16="http://schemas.microsoft.com/office/drawing/2014/main" id="{1EC8F7EE-DE6A-484C-9000-C2282FC80092}"/>
            </a:ext>
          </a:extLst>
        </xdr:cNvPr>
        <xdr:cNvCxnSpPr/>
      </xdr:nvCxnSpPr>
      <xdr:spPr>
        <a:xfrm>
          <a:off x="16259175" y="4876800"/>
          <a:ext cx="123825"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979716</xdr:colOff>
      <xdr:row>24</xdr:row>
      <xdr:rowOff>125639</xdr:rowOff>
    </xdr:from>
    <xdr:to>
      <xdr:col>19</xdr:col>
      <xdr:colOff>506640</xdr:colOff>
      <xdr:row>25</xdr:row>
      <xdr:rowOff>160111</xdr:rowOff>
    </xdr:to>
    <xdr:cxnSp macro="">
      <xdr:nvCxnSpPr>
        <xdr:cNvPr id="8" name="Straight Arrow Connector 5">
          <a:extLst>
            <a:ext uri="{FF2B5EF4-FFF2-40B4-BE49-F238E27FC236}">
              <a16:creationId xmlns:a16="http://schemas.microsoft.com/office/drawing/2014/main" id="{BB8FC732-0B5F-4A78-9974-95AA25884B43}"/>
            </a:ext>
          </a:extLst>
        </xdr:cNvPr>
        <xdr:cNvCxnSpPr/>
      </xdr:nvCxnSpPr>
      <xdr:spPr>
        <a:xfrm flipH="1">
          <a:off x="18219966" y="5446032"/>
          <a:ext cx="982888" cy="21136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185284</xdr:colOff>
      <xdr:row>24</xdr:row>
      <xdr:rowOff>111125</xdr:rowOff>
    </xdr:from>
    <xdr:to>
      <xdr:col>21</xdr:col>
      <xdr:colOff>752475</xdr:colOff>
      <xdr:row>25</xdr:row>
      <xdr:rowOff>152400</xdr:rowOff>
    </xdr:to>
    <xdr:cxnSp macro="">
      <xdr:nvCxnSpPr>
        <xdr:cNvPr id="9" name="Straight Arrow Connector 5">
          <a:extLst>
            <a:ext uri="{FF2B5EF4-FFF2-40B4-BE49-F238E27FC236}">
              <a16:creationId xmlns:a16="http://schemas.microsoft.com/office/drawing/2014/main" id="{CA66CB52-3B12-4272-9E3B-62908E10E38B}"/>
            </a:ext>
          </a:extLst>
        </xdr:cNvPr>
        <xdr:cNvCxnSpPr>
          <a:stCxn id="15" idx="2"/>
        </xdr:cNvCxnSpPr>
      </xdr:nvCxnSpPr>
      <xdr:spPr>
        <a:xfrm>
          <a:off x="21140284" y="6092825"/>
          <a:ext cx="1700666" cy="2222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389255</xdr:colOff>
      <xdr:row>24</xdr:row>
      <xdr:rowOff>28485</xdr:rowOff>
    </xdr:from>
    <xdr:to>
      <xdr:col>16</xdr:col>
      <xdr:colOff>847725</xdr:colOff>
      <xdr:row>27</xdr:row>
      <xdr:rowOff>114300</xdr:rowOff>
    </xdr:to>
    <xdr:sp macro="" textlink="">
      <xdr:nvSpPr>
        <xdr:cNvPr id="10" name="TextBox 9">
          <a:extLst>
            <a:ext uri="{FF2B5EF4-FFF2-40B4-BE49-F238E27FC236}">
              <a16:creationId xmlns:a16="http://schemas.microsoft.com/office/drawing/2014/main" id="{DA83FB76-BD68-4AD5-9DA0-38692449E097}"/>
            </a:ext>
          </a:extLst>
        </xdr:cNvPr>
        <xdr:cNvSpPr txBox="1"/>
      </xdr:nvSpPr>
      <xdr:spPr>
        <a:xfrm>
          <a:off x="16629380" y="5714910"/>
          <a:ext cx="2363470" cy="6287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18</xdr:col>
      <xdr:colOff>408213</xdr:colOff>
      <xdr:row>17</xdr:row>
      <xdr:rowOff>125641</xdr:rowOff>
    </xdr:from>
    <xdr:to>
      <xdr:col>21</xdr:col>
      <xdr:colOff>326571</xdr:colOff>
      <xdr:row>20</xdr:row>
      <xdr:rowOff>84819</xdr:rowOff>
    </xdr:to>
    <xdr:sp macro="" textlink="">
      <xdr:nvSpPr>
        <xdr:cNvPr id="11" name="TextBox 10">
          <a:extLst>
            <a:ext uri="{FF2B5EF4-FFF2-40B4-BE49-F238E27FC236}">
              <a16:creationId xmlns:a16="http://schemas.microsoft.com/office/drawing/2014/main" id="{4F048DC9-D34D-4F07-982C-B14C044363C6}"/>
            </a:ext>
          </a:extLst>
        </xdr:cNvPr>
        <xdr:cNvSpPr txBox="1"/>
      </xdr:nvSpPr>
      <xdr:spPr>
        <a:xfrm>
          <a:off x="17648463" y="4207784"/>
          <a:ext cx="3959679"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951593</xdr:colOff>
      <xdr:row>20</xdr:row>
      <xdr:rowOff>172357</xdr:rowOff>
    </xdr:from>
    <xdr:to>
      <xdr:col>21</xdr:col>
      <xdr:colOff>1200150</xdr:colOff>
      <xdr:row>24</xdr:row>
      <xdr:rowOff>111125</xdr:rowOff>
    </xdr:to>
    <xdr:sp macro="" textlink="">
      <xdr:nvSpPr>
        <xdr:cNvPr id="15" name="TextBox 13">
          <a:extLst>
            <a:ext uri="{FF2B5EF4-FFF2-40B4-BE49-F238E27FC236}">
              <a16:creationId xmlns:a16="http://schemas.microsoft.com/office/drawing/2014/main" id="{4807CF14-9278-4A23-8F69-BFC11179997F}"/>
            </a:ext>
          </a:extLst>
        </xdr:cNvPr>
        <xdr:cNvSpPr txBox="1"/>
      </xdr:nvSpPr>
      <xdr:spPr>
        <a:xfrm>
          <a:off x="18991943" y="5430157"/>
          <a:ext cx="4296682" cy="66266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17</xdr:col>
      <xdr:colOff>1211036</xdr:colOff>
      <xdr:row>19</xdr:row>
      <xdr:rowOff>27214</xdr:rowOff>
    </xdr:from>
    <xdr:to>
      <xdr:col>18</xdr:col>
      <xdr:colOff>417738</xdr:colOff>
      <xdr:row>19</xdr:row>
      <xdr:rowOff>105681</xdr:rowOff>
    </xdr:to>
    <xdr:cxnSp macro="">
      <xdr:nvCxnSpPr>
        <xdr:cNvPr id="17" name="Straight Arrow Connector 5">
          <a:extLst>
            <a:ext uri="{FF2B5EF4-FFF2-40B4-BE49-F238E27FC236}">
              <a16:creationId xmlns:a16="http://schemas.microsoft.com/office/drawing/2014/main" id="{1D1B3B9C-E6D5-4B9A-9D40-F0492F1CDE6B}"/>
            </a:ext>
          </a:extLst>
        </xdr:cNvPr>
        <xdr:cNvCxnSpPr/>
      </xdr:nvCxnSpPr>
      <xdr:spPr>
        <a:xfrm flipH="1">
          <a:off x="17226643" y="4463143"/>
          <a:ext cx="431345" cy="784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xdr:row>
      <xdr:rowOff>0</xdr:rowOff>
    </xdr:from>
    <xdr:to>
      <xdr:col>2</xdr:col>
      <xdr:colOff>2371567</xdr:colOff>
      <xdr:row>4</xdr:row>
      <xdr:rowOff>828130</xdr:rowOff>
    </xdr:to>
    <xdr:sp macro="" textlink="">
      <xdr:nvSpPr>
        <xdr:cNvPr id="18" name="TextBox 17">
          <a:extLst>
            <a:ext uri="{FF2B5EF4-FFF2-40B4-BE49-F238E27FC236}">
              <a16:creationId xmlns:a16="http://schemas.microsoft.com/office/drawing/2014/main" id="{C621A2EB-7E6D-4C43-ADAD-C2E2F994331A}"/>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16</xdr:col>
      <xdr:colOff>501650</xdr:colOff>
      <xdr:row>2</xdr:row>
      <xdr:rowOff>171450</xdr:rowOff>
    </xdr:from>
    <xdr:to>
      <xdr:col>16</xdr:col>
      <xdr:colOff>512509</xdr:colOff>
      <xdr:row>4</xdr:row>
      <xdr:rowOff>323850</xdr:rowOff>
    </xdr:to>
    <xdr:cxnSp macro="">
      <xdr:nvCxnSpPr>
        <xdr:cNvPr id="3" name="Straight Arrow Connector 2">
          <a:extLst>
            <a:ext uri="{FF2B5EF4-FFF2-40B4-BE49-F238E27FC236}">
              <a16:creationId xmlns:a16="http://schemas.microsoft.com/office/drawing/2014/main" id="{24E90A7D-A281-49E2-BA93-C4E22CB6E5B9}"/>
            </a:ext>
          </a:extLst>
        </xdr:cNvPr>
        <xdr:cNvCxnSpPr>
          <a:cxnSpLocks/>
        </xdr:cNvCxnSpPr>
      </xdr:nvCxnSpPr>
      <xdr:spPr>
        <a:xfrm>
          <a:off x="17827625" y="82867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466725</xdr:colOff>
      <xdr:row>1</xdr:row>
      <xdr:rowOff>84457</xdr:rowOff>
    </xdr:from>
    <xdr:to>
      <xdr:col>14</xdr:col>
      <xdr:colOff>501650</xdr:colOff>
      <xdr:row>4</xdr:row>
      <xdr:rowOff>406400</xdr:rowOff>
    </xdr:to>
    <xdr:cxnSp macro="">
      <xdr:nvCxnSpPr>
        <xdr:cNvPr id="19" name="Straight Arrow Connector 20">
          <a:extLst>
            <a:ext uri="{FF2B5EF4-FFF2-40B4-BE49-F238E27FC236}">
              <a16:creationId xmlns:a16="http://schemas.microsoft.com/office/drawing/2014/main" id="{5FC13010-B82E-4DDC-B473-3DEB3778CDD8}"/>
            </a:ext>
          </a:extLst>
        </xdr:cNvPr>
        <xdr:cNvCxnSpPr>
          <a:cxnSpLocks/>
        </xdr:cNvCxnSpPr>
      </xdr:nvCxnSpPr>
      <xdr:spPr>
        <a:xfrm flipH="1">
          <a:off x="15706725" y="484507"/>
          <a:ext cx="1035050" cy="96964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454025</xdr:colOff>
      <xdr:row>0</xdr:row>
      <xdr:rowOff>161925</xdr:rowOff>
    </xdr:from>
    <xdr:to>
      <xdr:col>19</xdr:col>
      <xdr:colOff>581025</xdr:colOff>
      <xdr:row>2</xdr:row>
      <xdr:rowOff>168909</xdr:rowOff>
    </xdr:to>
    <xdr:sp macro="" textlink="">
      <xdr:nvSpPr>
        <xdr:cNvPr id="20" name="TextBox 19">
          <a:extLst>
            <a:ext uri="{FF2B5EF4-FFF2-40B4-BE49-F238E27FC236}">
              <a16:creationId xmlns:a16="http://schemas.microsoft.com/office/drawing/2014/main" id="{D7026384-BE48-428D-A5B0-58A2EFB538DE}"/>
            </a:ext>
          </a:extLst>
        </xdr:cNvPr>
        <xdr:cNvSpPr txBox="1"/>
      </xdr:nvSpPr>
      <xdr:spPr>
        <a:xfrm>
          <a:off x="16694150" y="161925"/>
          <a:ext cx="5908675"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982891</xdr:colOff>
      <xdr:row>24</xdr:row>
      <xdr:rowOff>158750</xdr:rowOff>
    </xdr:from>
    <xdr:to>
      <xdr:col>19</xdr:col>
      <xdr:colOff>381000</xdr:colOff>
      <xdr:row>25</xdr:row>
      <xdr:rowOff>163286</xdr:rowOff>
    </xdr:to>
    <xdr:cxnSp macro="">
      <xdr:nvCxnSpPr>
        <xdr:cNvPr id="19" name="Straight Arrow Connector 5">
          <a:extLst>
            <a:ext uri="{FF2B5EF4-FFF2-40B4-BE49-F238E27FC236}">
              <a16:creationId xmlns:a16="http://schemas.microsoft.com/office/drawing/2014/main" id="{2FD3BBFD-0EBB-4B56-B730-C5964CED38DD}"/>
            </a:ext>
          </a:extLst>
        </xdr:cNvPr>
        <xdr:cNvCxnSpPr/>
      </xdr:nvCxnSpPr>
      <xdr:spPr>
        <a:xfrm flipH="1">
          <a:off x="19080391" y="6032500"/>
          <a:ext cx="858609" cy="17916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47625</xdr:colOff>
      <xdr:row>24</xdr:row>
      <xdr:rowOff>142875</xdr:rowOff>
    </xdr:from>
    <xdr:to>
      <xdr:col>21</xdr:col>
      <xdr:colOff>734786</xdr:colOff>
      <xdr:row>25</xdr:row>
      <xdr:rowOff>122464</xdr:rowOff>
    </xdr:to>
    <xdr:cxnSp macro="">
      <xdr:nvCxnSpPr>
        <xdr:cNvPr id="12" name="Straight Arrow Connector 5">
          <a:extLst>
            <a:ext uri="{FF2B5EF4-FFF2-40B4-BE49-F238E27FC236}">
              <a16:creationId xmlns:a16="http://schemas.microsoft.com/office/drawing/2014/main" id="{536A1E89-BCD6-429C-897E-6FBDC2E589BE}"/>
            </a:ext>
          </a:extLst>
        </xdr:cNvPr>
        <xdr:cNvCxnSpPr>
          <a:cxnSpLocks/>
        </xdr:cNvCxnSpPr>
      </xdr:nvCxnSpPr>
      <xdr:spPr>
        <a:xfrm>
          <a:off x="21066125" y="6016625"/>
          <a:ext cx="1814286" cy="15421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408213</xdr:colOff>
      <xdr:row>17</xdr:row>
      <xdr:rowOff>125641</xdr:rowOff>
    </xdr:from>
    <xdr:to>
      <xdr:col>21</xdr:col>
      <xdr:colOff>326571</xdr:colOff>
      <xdr:row>20</xdr:row>
      <xdr:rowOff>84819</xdr:rowOff>
    </xdr:to>
    <xdr:sp macro="" textlink="">
      <xdr:nvSpPr>
        <xdr:cNvPr id="11" name="TextBox 10">
          <a:extLst>
            <a:ext uri="{FF2B5EF4-FFF2-40B4-BE49-F238E27FC236}">
              <a16:creationId xmlns:a16="http://schemas.microsoft.com/office/drawing/2014/main" id="{11B611DE-2FBA-449E-AA5A-862ABD609D69}"/>
            </a:ext>
          </a:extLst>
        </xdr:cNvPr>
        <xdr:cNvSpPr txBox="1"/>
      </xdr:nvSpPr>
      <xdr:spPr>
        <a:xfrm>
          <a:off x="17648463" y="4207784"/>
          <a:ext cx="3959679"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0</xdr:colOff>
      <xdr:row>19</xdr:row>
      <xdr:rowOff>16783</xdr:rowOff>
    </xdr:from>
    <xdr:to>
      <xdr:col>18</xdr:col>
      <xdr:colOff>411388</xdr:colOff>
      <xdr:row>19</xdr:row>
      <xdr:rowOff>95249</xdr:rowOff>
    </xdr:to>
    <xdr:cxnSp macro="">
      <xdr:nvCxnSpPr>
        <xdr:cNvPr id="18" name="Straight Arrow Connector 5">
          <a:extLst>
            <a:ext uri="{FF2B5EF4-FFF2-40B4-BE49-F238E27FC236}">
              <a16:creationId xmlns:a16="http://schemas.microsoft.com/office/drawing/2014/main" id="{54F7D9B4-8A08-4C6B-9DAE-C64DBD772A96}"/>
            </a:ext>
          </a:extLst>
        </xdr:cNvPr>
        <xdr:cNvCxnSpPr>
          <a:stCxn id="11" idx="1"/>
        </xdr:cNvCxnSpPr>
      </xdr:nvCxnSpPr>
      <xdr:spPr>
        <a:xfrm flipH="1">
          <a:off x="17198521" y="4452712"/>
          <a:ext cx="453117" cy="7846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1031875</xdr:colOff>
      <xdr:row>21</xdr:row>
      <xdr:rowOff>31750</xdr:rowOff>
    </xdr:from>
    <xdr:to>
      <xdr:col>21</xdr:col>
      <xdr:colOff>1108999</xdr:colOff>
      <xdr:row>24</xdr:row>
      <xdr:rowOff>145253</xdr:rowOff>
    </xdr:to>
    <xdr:sp macro="" textlink="">
      <xdr:nvSpPr>
        <xdr:cNvPr id="6" name="TextBox 27">
          <a:extLst>
            <a:ext uri="{FF2B5EF4-FFF2-40B4-BE49-F238E27FC236}">
              <a16:creationId xmlns:a16="http://schemas.microsoft.com/office/drawing/2014/main" id="{4DE3D25F-5861-4EA9-BE20-3852D160AF9B}"/>
            </a:ext>
          </a:extLst>
        </xdr:cNvPr>
        <xdr:cNvSpPr txBox="1"/>
      </xdr:nvSpPr>
      <xdr:spPr>
        <a:xfrm>
          <a:off x="19129375" y="5381625"/>
          <a:ext cx="4125249"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312A7DAF-0032-4308-B6CA-0AC5CC8113BF}"/>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981075</xdr:colOff>
      <xdr:row>20</xdr:row>
      <xdr:rowOff>19050</xdr:rowOff>
    </xdr:from>
    <xdr:to>
      <xdr:col>15</xdr:col>
      <xdr:colOff>284616</xdr:colOff>
      <xdr:row>23</xdr:row>
      <xdr:rowOff>908</xdr:rowOff>
    </xdr:to>
    <xdr:cxnSp macro="">
      <xdr:nvCxnSpPr>
        <xdr:cNvPr id="17" name="Straight Arrow Connector 5">
          <a:extLst>
            <a:ext uri="{FF2B5EF4-FFF2-40B4-BE49-F238E27FC236}">
              <a16:creationId xmlns:a16="http://schemas.microsoft.com/office/drawing/2014/main" id="{5770BCA5-AA09-407D-BACF-CD8805F02242}"/>
            </a:ext>
          </a:extLst>
        </xdr:cNvPr>
        <xdr:cNvCxnSpPr>
          <a:stCxn id="26" idx="0"/>
        </xdr:cNvCxnSpPr>
      </xdr:nvCxnSpPr>
      <xdr:spPr>
        <a:xfrm flipH="1" flipV="1">
          <a:off x="17218025" y="4981575"/>
          <a:ext cx="735466" cy="5247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xdr:row>
      <xdr:rowOff>82550</xdr:rowOff>
    </xdr:from>
    <xdr:to>
      <xdr:col>14</xdr:col>
      <xdr:colOff>247650</xdr:colOff>
      <xdr:row>19</xdr:row>
      <xdr:rowOff>19050</xdr:rowOff>
    </xdr:to>
    <xdr:cxnSp macro="">
      <xdr:nvCxnSpPr>
        <xdr:cNvPr id="21" name="Straight Arrow Connector 20">
          <a:extLst>
            <a:ext uri="{FF2B5EF4-FFF2-40B4-BE49-F238E27FC236}">
              <a16:creationId xmlns:a16="http://schemas.microsoft.com/office/drawing/2014/main" id="{F9D7FD62-AC1B-4EC0-A101-CB70A128D22F}"/>
            </a:ext>
          </a:extLst>
        </xdr:cNvPr>
        <xdr:cNvCxnSpPr/>
      </xdr:nvCxnSpPr>
      <xdr:spPr>
        <a:xfrm>
          <a:off x="16265525" y="2695575"/>
          <a:ext cx="222250" cy="210502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15875</xdr:colOff>
      <xdr:row>19</xdr:row>
      <xdr:rowOff>85725</xdr:rowOff>
    </xdr:from>
    <xdr:to>
      <xdr:col>14</xdr:col>
      <xdr:colOff>152400</xdr:colOff>
      <xdr:row>19</xdr:row>
      <xdr:rowOff>88155</xdr:rowOff>
    </xdr:to>
    <xdr:cxnSp macro="">
      <xdr:nvCxnSpPr>
        <xdr:cNvPr id="22" name="Straight Arrow Connector 21">
          <a:extLst>
            <a:ext uri="{FF2B5EF4-FFF2-40B4-BE49-F238E27FC236}">
              <a16:creationId xmlns:a16="http://schemas.microsoft.com/office/drawing/2014/main" id="{4F73EDFD-F009-4539-8373-307E8ADA3B69}"/>
            </a:ext>
          </a:extLst>
        </xdr:cNvPr>
        <xdr:cNvCxnSpPr/>
      </xdr:nvCxnSpPr>
      <xdr:spPr>
        <a:xfrm flipV="1">
          <a:off x="16256000" y="4864100"/>
          <a:ext cx="136525" cy="243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438150</xdr:colOff>
      <xdr:row>1</xdr:row>
      <xdr:rowOff>43182</xdr:rowOff>
    </xdr:from>
    <xdr:to>
      <xdr:col>14</xdr:col>
      <xdr:colOff>476250</xdr:colOff>
      <xdr:row>4</xdr:row>
      <xdr:rowOff>361950</xdr:rowOff>
    </xdr:to>
    <xdr:cxnSp macro="">
      <xdr:nvCxnSpPr>
        <xdr:cNvPr id="24" name="Straight Arrow Connector 20">
          <a:extLst>
            <a:ext uri="{FF2B5EF4-FFF2-40B4-BE49-F238E27FC236}">
              <a16:creationId xmlns:a16="http://schemas.microsoft.com/office/drawing/2014/main" id="{98C647D0-93EB-4EF1-B795-1EC8019509FD}"/>
            </a:ext>
          </a:extLst>
        </xdr:cNvPr>
        <xdr:cNvCxnSpPr>
          <a:cxnSpLocks/>
        </xdr:cNvCxnSpPr>
      </xdr:nvCxnSpPr>
      <xdr:spPr>
        <a:xfrm flipH="1">
          <a:off x="15678150" y="446407"/>
          <a:ext cx="1038225" cy="96329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610506</xdr:colOff>
      <xdr:row>22</xdr:row>
      <xdr:rowOff>178708</xdr:rowOff>
    </xdr:from>
    <xdr:to>
      <xdr:col>16</xdr:col>
      <xdr:colOff>828675</xdr:colOff>
      <xdr:row>26</xdr:row>
      <xdr:rowOff>73025</xdr:rowOff>
    </xdr:to>
    <xdr:sp macro="" textlink="">
      <xdr:nvSpPr>
        <xdr:cNvPr id="26" name="TextBox 25">
          <a:extLst>
            <a:ext uri="{FF2B5EF4-FFF2-40B4-BE49-F238E27FC236}">
              <a16:creationId xmlns:a16="http://schemas.microsoft.com/office/drawing/2014/main" id="{84EB17BA-B6E1-43AA-824D-32E56334E7DB}"/>
            </a:ext>
          </a:extLst>
        </xdr:cNvPr>
        <xdr:cNvSpPr txBox="1"/>
      </xdr:nvSpPr>
      <xdr:spPr>
        <a:xfrm>
          <a:off x="16850631" y="5506358"/>
          <a:ext cx="2205719" cy="61504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473075</xdr:colOff>
      <xdr:row>2</xdr:row>
      <xdr:rowOff>133350</xdr:rowOff>
    </xdr:from>
    <xdr:to>
      <xdr:col>16</xdr:col>
      <xdr:colOff>483934</xdr:colOff>
      <xdr:row>4</xdr:row>
      <xdr:rowOff>285750</xdr:rowOff>
    </xdr:to>
    <xdr:cxnSp macro="">
      <xdr:nvCxnSpPr>
        <xdr:cNvPr id="27" name="Straight Arrow Connector 26">
          <a:extLst>
            <a:ext uri="{FF2B5EF4-FFF2-40B4-BE49-F238E27FC236}">
              <a16:creationId xmlns:a16="http://schemas.microsoft.com/office/drawing/2014/main" id="{7F3B03D0-B641-4ABD-BD48-159B088C8BA1}"/>
            </a:ext>
          </a:extLst>
        </xdr:cNvPr>
        <xdr:cNvCxnSpPr>
          <a:cxnSpLocks/>
        </xdr:cNvCxnSpPr>
      </xdr:nvCxnSpPr>
      <xdr:spPr>
        <a:xfrm>
          <a:off x="17875250" y="79057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428625</xdr:colOff>
      <xdr:row>0</xdr:row>
      <xdr:rowOff>123825</xdr:rowOff>
    </xdr:from>
    <xdr:to>
      <xdr:col>19</xdr:col>
      <xdr:colOff>349250</xdr:colOff>
      <xdr:row>2</xdr:row>
      <xdr:rowOff>130809</xdr:rowOff>
    </xdr:to>
    <xdr:sp macro="" textlink="">
      <xdr:nvSpPr>
        <xdr:cNvPr id="28" name="TextBox 27">
          <a:extLst>
            <a:ext uri="{FF2B5EF4-FFF2-40B4-BE49-F238E27FC236}">
              <a16:creationId xmlns:a16="http://schemas.microsoft.com/office/drawing/2014/main" id="{AB87A776-514C-430D-8AD2-C856FCD76FDE}"/>
            </a:ext>
          </a:extLst>
        </xdr:cNvPr>
        <xdr:cNvSpPr txBox="1"/>
      </xdr:nvSpPr>
      <xdr:spPr>
        <a:xfrm>
          <a:off x="16668750" y="123825"/>
          <a:ext cx="5902325"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0</xdr:colOff>
      <xdr:row>8</xdr:row>
      <xdr:rowOff>80909</xdr:rowOff>
    </xdr:from>
    <xdr:to>
      <xdr:col>18</xdr:col>
      <xdr:colOff>1017905</xdr:colOff>
      <xdr:row>9</xdr:row>
      <xdr:rowOff>128912</xdr:rowOff>
    </xdr:to>
    <xdr:cxnSp macro="">
      <xdr:nvCxnSpPr>
        <xdr:cNvPr id="76" name="Straight Arrow Connector 5">
          <a:extLst>
            <a:ext uri="{FF2B5EF4-FFF2-40B4-BE49-F238E27FC236}">
              <a16:creationId xmlns:a16="http://schemas.microsoft.com/office/drawing/2014/main" id="{39BCEA74-9224-4A0C-9216-938CF308E12E}"/>
            </a:ext>
          </a:extLst>
        </xdr:cNvPr>
        <xdr:cNvCxnSpPr>
          <a:stCxn id="74" idx="1"/>
        </xdr:cNvCxnSpPr>
      </xdr:nvCxnSpPr>
      <xdr:spPr>
        <a:xfrm flipH="1" flipV="1">
          <a:off x="19483995" y="2954284"/>
          <a:ext cx="1060160" cy="22262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367937</xdr:colOff>
      <xdr:row>15</xdr:row>
      <xdr:rowOff>160682</xdr:rowOff>
    </xdr:from>
    <xdr:to>
      <xdr:col>21</xdr:col>
      <xdr:colOff>883920</xdr:colOff>
      <xdr:row>20</xdr:row>
      <xdr:rowOff>6299</xdr:rowOff>
    </xdr:to>
    <xdr:grpSp>
      <xdr:nvGrpSpPr>
        <xdr:cNvPr id="4" name="Group 3">
          <a:extLst>
            <a:ext uri="{FF2B5EF4-FFF2-40B4-BE49-F238E27FC236}">
              <a16:creationId xmlns:a16="http://schemas.microsoft.com/office/drawing/2014/main" id="{553322CE-84BD-48EF-A1C1-665861A5C4A4}"/>
            </a:ext>
          </a:extLst>
        </xdr:cNvPr>
        <xdr:cNvGrpSpPr/>
      </xdr:nvGrpSpPr>
      <xdr:grpSpPr>
        <a:xfrm>
          <a:off x="21119737" y="4250082"/>
          <a:ext cx="4999083" cy="975917"/>
          <a:chOff x="20261852" y="4143053"/>
          <a:chExt cx="5103844" cy="622017"/>
        </a:xfrm>
      </xdr:grpSpPr>
      <xdr:cxnSp macro="">
        <xdr:nvCxnSpPr>
          <xdr:cNvPr id="101" name="Straight Arrow Connector 5">
            <a:extLst>
              <a:ext uri="{FF2B5EF4-FFF2-40B4-BE49-F238E27FC236}">
                <a16:creationId xmlns:a16="http://schemas.microsoft.com/office/drawing/2014/main" id="{61939910-823E-43D6-96FF-A46CEFFA76BA}"/>
              </a:ext>
            </a:extLst>
          </xdr:cNvPr>
          <xdr:cNvCxnSpPr/>
        </xdr:nvCxnSpPr>
        <xdr:spPr>
          <a:xfrm flipH="1">
            <a:off x="22028252" y="4361505"/>
            <a:ext cx="517304" cy="37813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3" name="Straight Arrow Connector 5">
            <a:extLst>
              <a:ext uri="{FF2B5EF4-FFF2-40B4-BE49-F238E27FC236}">
                <a16:creationId xmlns:a16="http://schemas.microsoft.com/office/drawing/2014/main" id="{1AC6FF34-3C9E-4B70-97DA-56FAA884FF0D}"/>
              </a:ext>
            </a:extLst>
          </xdr:cNvPr>
          <xdr:cNvCxnSpPr/>
        </xdr:nvCxnSpPr>
        <xdr:spPr>
          <a:xfrm flipH="1">
            <a:off x="20261852" y="4365625"/>
            <a:ext cx="1934573" cy="39944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9" name="Straight Arrow Connector 5">
            <a:extLst>
              <a:ext uri="{FF2B5EF4-FFF2-40B4-BE49-F238E27FC236}">
                <a16:creationId xmlns:a16="http://schemas.microsoft.com/office/drawing/2014/main" id="{5FD61BCC-CC15-4856-AC0F-477336A76DA6}"/>
              </a:ext>
            </a:extLst>
          </xdr:cNvPr>
          <xdr:cNvCxnSpPr>
            <a:stCxn id="102" idx="3"/>
          </xdr:cNvCxnSpPr>
        </xdr:nvCxnSpPr>
        <xdr:spPr>
          <a:xfrm>
            <a:off x="25235861" y="4143053"/>
            <a:ext cx="129835" cy="5764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1014726</xdr:colOff>
      <xdr:row>7</xdr:row>
      <xdr:rowOff>159177</xdr:rowOff>
    </xdr:from>
    <xdr:to>
      <xdr:col>20</xdr:col>
      <xdr:colOff>896634</xdr:colOff>
      <xdr:row>11</xdr:row>
      <xdr:rowOff>104979</xdr:rowOff>
    </xdr:to>
    <xdr:sp macro="" textlink="">
      <xdr:nvSpPr>
        <xdr:cNvPr id="74" name="TextBox 26">
          <a:extLst>
            <a:ext uri="{FF2B5EF4-FFF2-40B4-BE49-F238E27FC236}">
              <a16:creationId xmlns:a16="http://schemas.microsoft.com/office/drawing/2014/main" id="{1C63E7F2-4B80-4248-924C-D5598A06F6AD}"/>
            </a:ext>
          </a:extLst>
        </xdr:cNvPr>
        <xdr:cNvSpPr txBox="1"/>
      </xdr:nvSpPr>
      <xdr:spPr>
        <a:xfrm>
          <a:off x="20540976" y="2857927"/>
          <a:ext cx="2802908" cy="6443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693255</xdr:colOff>
      <xdr:row>14</xdr:row>
      <xdr:rowOff>8248</xdr:rowOff>
    </xdr:from>
    <xdr:to>
      <xdr:col>21</xdr:col>
      <xdr:colOff>762000</xdr:colOff>
      <xdr:row>17</xdr:row>
      <xdr:rowOff>122620</xdr:rowOff>
    </xdr:to>
    <xdr:sp macro="" textlink="">
      <xdr:nvSpPr>
        <xdr:cNvPr id="102" name="TextBox 27">
          <a:extLst>
            <a:ext uri="{FF2B5EF4-FFF2-40B4-BE49-F238E27FC236}">
              <a16:creationId xmlns:a16="http://schemas.microsoft.com/office/drawing/2014/main" id="{30A2B87C-D7EF-4995-97A7-6C06A1B6B519}"/>
            </a:ext>
          </a:extLst>
        </xdr:cNvPr>
        <xdr:cNvSpPr txBox="1"/>
      </xdr:nvSpPr>
      <xdr:spPr>
        <a:xfrm>
          <a:off x="20505255" y="3961123"/>
          <a:ext cx="4345470" cy="68587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5</xdr:col>
      <xdr:colOff>92076</xdr:colOff>
      <xdr:row>79</xdr:row>
      <xdr:rowOff>92065</xdr:rowOff>
    </xdr:from>
    <xdr:to>
      <xdr:col>7</xdr:col>
      <xdr:colOff>439271</xdr:colOff>
      <xdr:row>82</xdr:row>
      <xdr:rowOff>53786</xdr:rowOff>
    </xdr:to>
    <xdr:grpSp>
      <xdr:nvGrpSpPr>
        <xdr:cNvPr id="2" name="Group 1">
          <a:extLst>
            <a:ext uri="{FF2B5EF4-FFF2-40B4-BE49-F238E27FC236}">
              <a16:creationId xmlns:a16="http://schemas.microsoft.com/office/drawing/2014/main" id="{8B06788D-F8E6-4FF6-AF33-DCAA395463CA}"/>
            </a:ext>
          </a:extLst>
        </xdr:cNvPr>
        <xdr:cNvGrpSpPr/>
      </xdr:nvGrpSpPr>
      <xdr:grpSpPr>
        <a:xfrm>
          <a:off x="6689726" y="16513165"/>
          <a:ext cx="3191995" cy="514171"/>
          <a:chOff x="6432551" y="16522703"/>
          <a:chExt cx="4024423" cy="735563"/>
        </a:xfrm>
      </xdr:grpSpPr>
      <xdr:sp macro="" textlink="">
        <xdr:nvSpPr>
          <xdr:cNvPr id="25" name="TextBox 7">
            <a:extLst>
              <a:ext uri="{FF2B5EF4-FFF2-40B4-BE49-F238E27FC236}">
                <a16:creationId xmlns:a16="http://schemas.microsoft.com/office/drawing/2014/main" id="{6858B800-2856-4AE0-8C1A-95075CA11EAC}"/>
              </a:ext>
            </a:extLst>
          </xdr:cNvPr>
          <xdr:cNvSpPr txBox="1"/>
        </xdr:nvSpPr>
        <xdr:spPr>
          <a:xfrm>
            <a:off x="7137399" y="16573223"/>
            <a:ext cx="3319575" cy="68504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CO</a:t>
            </a:r>
            <a:r>
              <a:rPr lang="en-GB" sz="1100" baseline="-25000"/>
              <a:t>2</a:t>
            </a:r>
            <a:r>
              <a:rPr lang="en-GB" sz="1100" baseline="0"/>
              <a:t> capture rate is linked to the response given in the Initial questions worksheet.</a:t>
            </a:r>
            <a:endParaRPr lang="en-GB" sz="1100"/>
          </a:p>
        </xdr:txBody>
      </xdr:sp>
      <xdr:cxnSp macro="">
        <xdr:nvCxnSpPr>
          <xdr:cNvPr id="19" name="Straight Arrow Connector 5">
            <a:extLst>
              <a:ext uri="{FF2B5EF4-FFF2-40B4-BE49-F238E27FC236}">
                <a16:creationId xmlns:a16="http://schemas.microsoft.com/office/drawing/2014/main" id="{51F3A892-ECE2-44AD-B2FD-9E3D80F82FB4}"/>
              </a:ext>
            </a:extLst>
          </xdr:cNvPr>
          <xdr:cNvCxnSpPr>
            <a:stCxn id="25" idx="1"/>
          </xdr:cNvCxnSpPr>
        </xdr:nvCxnSpPr>
        <xdr:spPr>
          <a:xfrm flipH="1" flipV="1">
            <a:off x="6432551" y="16522703"/>
            <a:ext cx="704848" cy="39304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0</xdr:colOff>
      <xdr:row>4</xdr:row>
      <xdr:rowOff>0</xdr:rowOff>
    </xdr:from>
    <xdr:to>
      <xdr:col>2</xdr:col>
      <xdr:colOff>2371567</xdr:colOff>
      <xdr:row>4</xdr:row>
      <xdr:rowOff>828130</xdr:rowOff>
    </xdr:to>
    <xdr:sp macro="" textlink="">
      <xdr:nvSpPr>
        <xdr:cNvPr id="21" name="TextBox 17">
          <a:extLst>
            <a:ext uri="{FF2B5EF4-FFF2-40B4-BE49-F238E27FC236}">
              <a16:creationId xmlns:a16="http://schemas.microsoft.com/office/drawing/2014/main" id="{F6A4E447-5B3E-49F1-AEB2-23050A2354D9}"/>
            </a:ext>
          </a:extLst>
        </xdr:cNvPr>
        <xdr:cNvSpPr txBox="1"/>
      </xdr:nvSpPr>
      <xdr:spPr>
        <a:xfrm>
          <a:off x="286871" y="1156447"/>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800100</xdr:colOff>
      <xdr:row>9</xdr:row>
      <xdr:rowOff>28575</xdr:rowOff>
    </xdr:from>
    <xdr:to>
      <xdr:col>15</xdr:col>
      <xdr:colOff>479653</xdr:colOff>
      <xdr:row>14</xdr:row>
      <xdr:rowOff>0</xdr:rowOff>
    </xdr:to>
    <xdr:cxnSp macro="">
      <xdr:nvCxnSpPr>
        <xdr:cNvPr id="5" name="Straight Arrow Connector 5">
          <a:extLst>
            <a:ext uri="{FF2B5EF4-FFF2-40B4-BE49-F238E27FC236}">
              <a16:creationId xmlns:a16="http://schemas.microsoft.com/office/drawing/2014/main" id="{F596A722-B157-4E2D-BE70-607CA24D8E7B}"/>
            </a:ext>
          </a:extLst>
        </xdr:cNvPr>
        <xdr:cNvCxnSpPr>
          <a:stCxn id="11" idx="0"/>
        </xdr:cNvCxnSpPr>
      </xdr:nvCxnSpPr>
      <xdr:spPr>
        <a:xfrm flipH="1" flipV="1">
          <a:off x="17040225" y="2997200"/>
          <a:ext cx="940028" cy="8794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30069</xdr:colOff>
      <xdr:row>7</xdr:row>
      <xdr:rowOff>104402</xdr:rowOff>
    </xdr:from>
    <xdr:to>
      <xdr:col>14</xdr:col>
      <xdr:colOff>219075</xdr:colOff>
      <xdr:row>8</xdr:row>
      <xdr:rowOff>0</xdr:rowOff>
    </xdr:to>
    <xdr:cxnSp macro="">
      <xdr:nvCxnSpPr>
        <xdr:cNvPr id="6" name="Straight Arrow Connector 2">
          <a:extLst>
            <a:ext uri="{FF2B5EF4-FFF2-40B4-BE49-F238E27FC236}">
              <a16:creationId xmlns:a16="http://schemas.microsoft.com/office/drawing/2014/main" id="{C402DAB7-0F04-4E4E-A3B3-D4BCC409164D}"/>
            </a:ext>
          </a:extLst>
        </xdr:cNvPr>
        <xdr:cNvCxnSpPr/>
      </xdr:nvCxnSpPr>
      <xdr:spPr>
        <a:xfrm>
          <a:off x="16267019" y="2717427"/>
          <a:ext cx="189006" cy="7339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981795</xdr:colOff>
      <xdr:row>8</xdr:row>
      <xdr:rowOff>104775</xdr:rowOff>
    </xdr:from>
    <xdr:to>
      <xdr:col>14</xdr:col>
      <xdr:colOff>142875</xdr:colOff>
      <xdr:row>8</xdr:row>
      <xdr:rowOff>105363</xdr:rowOff>
    </xdr:to>
    <xdr:cxnSp macro="">
      <xdr:nvCxnSpPr>
        <xdr:cNvPr id="7" name="Straight Arrow Connector 6">
          <a:extLst>
            <a:ext uri="{FF2B5EF4-FFF2-40B4-BE49-F238E27FC236}">
              <a16:creationId xmlns:a16="http://schemas.microsoft.com/office/drawing/2014/main" id="{86FC07C9-B655-4F88-8D85-BF92CF38BAB6}"/>
            </a:ext>
          </a:extLst>
        </xdr:cNvPr>
        <xdr:cNvCxnSpPr/>
      </xdr:nvCxnSpPr>
      <xdr:spPr>
        <a:xfrm flipV="1">
          <a:off x="16218620" y="2892425"/>
          <a:ext cx="161205" cy="58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495300</xdr:colOff>
      <xdr:row>1</xdr:row>
      <xdr:rowOff>133350</xdr:rowOff>
    </xdr:from>
    <xdr:to>
      <xdr:col>14</xdr:col>
      <xdr:colOff>495300</xdr:colOff>
      <xdr:row>4</xdr:row>
      <xdr:rowOff>304800</xdr:rowOff>
    </xdr:to>
    <xdr:cxnSp macro="">
      <xdr:nvCxnSpPr>
        <xdr:cNvPr id="8" name="Straight Arrow Connector 20">
          <a:extLst>
            <a:ext uri="{FF2B5EF4-FFF2-40B4-BE49-F238E27FC236}">
              <a16:creationId xmlns:a16="http://schemas.microsoft.com/office/drawing/2014/main" id="{2C07F2D7-1901-43CE-AD72-756DC981A46F}"/>
            </a:ext>
          </a:extLst>
        </xdr:cNvPr>
        <xdr:cNvCxnSpPr>
          <a:cxnSpLocks/>
        </xdr:cNvCxnSpPr>
      </xdr:nvCxnSpPr>
      <xdr:spPr>
        <a:xfrm flipH="1">
          <a:off x="15735300" y="533400"/>
          <a:ext cx="1000125" cy="8191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625930</xdr:colOff>
      <xdr:row>14</xdr:row>
      <xdr:rowOff>0</xdr:rowOff>
    </xdr:from>
    <xdr:to>
      <xdr:col>16</xdr:col>
      <xdr:colOff>876301</xdr:colOff>
      <xdr:row>17</xdr:row>
      <xdr:rowOff>122121</xdr:rowOff>
    </xdr:to>
    <xdr:sp macro="" textlink="">
      <xdr:nvSpPr>
        <xdr:cNvPr id="11" name="TextBox 7">
          <a:extLst>
            <a:ext uri="{FF2B5EF4-FFF2-40B4-BE49-F238E27FC236}">
              <a16:creationId xmlns:a16="http://schemas.microsoft.com/office/drawing/2014/main" id="{B9C60FA2-F44E-43AD-8C0C-28BBBC3DDB77}"/>
            </a:ext>
          </a:extLst>
        </xdr:cNvPr>
        <xdr:cNvSpPr txBox="1"/>
      </xdr:nvSpPr>
      <xdr:spPr>
        <a:xfrm>
          <a:off x="16866055" y="3876675"/>
          <a:ext cx="2222046" cy="66822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hydrogen output.</a:t>
          </a:r>
          <a:endParaRPr lang="en-GB" sz="1100"/>
        </a:p>
      </xdr:txBody>
    </xdr:sp>
    <xdr:clientData/>
  </xdr:twoCellAnchor>
  <xdr:twoCellAnchor>
    <xdr:from>
      <xdr:col>16</xdr:col>
      <xdr:colOff>552450</xdr:colOff>
      <xdr:row>2</xdr:row>
      <xdr:rowOff>161925</xdr:rowOff>
    </xdr:from>
    <xdr:to>
      <xdr:col>16</xdr:col>
      <xdr:colOff>563309</xdr:colOff>
      <xdr:row>4</xdr:row>
      <xdr:rowOff>314325</xdr:rowOff>
    </xdr:to>
    <xdr:cxnSp macro="">
      <xdr:nvCxnSpPr>
        <xdr:cNvPr id="12" name="Straight Arrow Connector 11">
          <a:extLst>
            <a:ext uri="{FF2B5EF4-FFF2-40B4-BE49-F238E27FC236}">
              <a16:creationId xmlns:a16="http://schemas.microsoft.com/office/drawing/2014/main" id="{CDA2A711-A6BB-458C-9E0F-D97618AECEA6}"/>
            </a:ext>
          </a:extLst>
        </xdr:cNvPr>
        <xdr:cNvCxnSpPr>
          <a:cxnSpLocks/>
        </xdr:cNvCxnSpPr>
      </xdr:nvCxnSpPr>
      <xdr:spPr>
        <a:xfrm>
          <a:off x="18764250" y="815975"/>
          <a:ext cx="7684" cy="5429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504825</xdr:colOff>
      <xdr:row>0</xdr:row>
      <xdr:rowOff>149225</xdr:rowOff>
    </xdr:from>
    <xdr:to>
      <xdr:col>19</xdr:col>
      <xdr:colOff>438150</xdr:colOff>
      <xdr:row>2</xdr:row>
      <xdr:rowOff>162559</xdr:rowOff>
    </xdr:to>
    <xdr:sp macro="" textlink="">
      <xdr:nvSpPr>
        <xdr:cNvPr id="9" name="TextBox 8">
          <a:extLst>
            <a:ext uri="{FF2B5EF4-FFF2-40B4-BE49-F238E27FC236}">
              <a16:creationId xmlns:a16="http://schemas.microsoft.com/office/drawing/2014/main" id="{8FC63A92-C0E8-4D83-9F7D-13CBC2F61A01}"/>
            </a:ext>
          </a:extLst>
        </xdr:cNvPr>
        <xdr:cNvSpPr txBox="1"/>
      </xdr:nvSpPr>
      <xdr:spPr>
        <a:xfrm>
          <a:off x="16744950" y="149225"/>
          <a:ext cx="5895975" cy="67055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0</xdr:colOff>
      <xdr:row>8</xdr:row>
      <xdr:rowOff>80909</xdr:rowOff>
    </xdr:from>
    <xdr:to>
      <xdr:col>18</xdr:col>
      <xdr:colOff>1017905</xdr:colOff>
      <xdr:row>9</xdr:row>
      <xdr:rowOff>128912</xdr:rowOff>
    </xdr:to>
    <xdr:cxnSp macro="">
      <xdr:nvCxnSpPr>
        <xdr:cNvPr id="7" name="Straight Arrow Connector 5">
          <a:extLst>
            <a:ext uri="{FF2B5EF4-FFF2-40B4-BE49-F238E27FC236}">
              <a16:creationId xmlns:a16="http://schemas.microsoft.com/office/drawing/2014/main" id="{194D51E2-04F3-4E1F-BD49-085803119D5C}"/>
            </a:ext>
          </a:extLst>
        </xdr:cNvPr>
        <xdr:cNvCxnSpPr>
          <a:stCxn id="14" idx="1"/>
        </xdr:cNvCxnSpPr>
      </xdr:nvCxnSpPr>
      <xdr:spPr>
        <a:xfrm flipH="1" flipV="1">
          <a:off x="16582045" y="2890784"/>
          <a:ext cx="1018885" cy="23850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367937</xdr:colOff>
      <xdr:row>15</xdr:row>
      <xdr:rowOff>160682</xdr:rowOff>
    </xdr:from>
    <xdr:to>
      <xdr:col>21</xdr:col>
      <xdr:colOff>883920</xdr:colOff>
      <xdr:row>20</xdr:row>
      <xdr:rowOff>6299</xdr:rowOff>
    </xdr:to>
    <xdr:grpSp>
      <xdr:nvGrpSpPr>
        <xdr:cNvPr id="10" name="Group 9">
          <a:extLst>
            <a:ext uri="{FF2B5EF4-FFF2-40B4-BE49-F238E27FC236}">
              <a16:creationId xmlns:a16="http://schemas.microsoft.com/office/drawing/2014/main" id="{9212E85E-613E-4D4B-BABB-3D7243515EFB}"/>
            </a:ext>
          </a:extLst>
        </xdr:cNvPr>
        <xdr:cNvGrpSpPr/>
      </xdr:nvGrpSpPr>
      <xdr:grpSpPr>
        <a:xfrm>
          <a:off x="21119737" y="4250082"/>
          <a:ext cx="4999083" cy="975917"/>
          <a:chOff x="20261852" y="4143053"/>
          <a:chExt cx="5103844" cy="622017"/>
        </a:xfrm>
      </xdr:grpSpPr>
      <xdr:cxnSp macro="">
        <xdr:nvCxnSpPr>
          <xdr:cNvPr id="11" name="Straight Arrow Connector 5">
            <a:extLst>
              <a:ext uri="{FF2B5EF4-FFF2-40B4-BE49-F238E27FC236}">
                <a16:creationId xmlns:a16="http://schemas.microsoft.com/office/drawing/2014/main" id="{AC05C137-F816-2690-0367-CE9E209309D8}"/>
              </a:ext>
            </a:extLst>
          </xdr:cNvPr>
          <xdr:cNvCxnSpPr/>
        </xdr:nvCxnSpPr>
        <xdr:spPr>
          <a:xfrm flipH="1">
            <a:off x="22028252" y="4361505"/>
            <a:ext cx="517304" cy="37813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 name="Straight Arrow Connector 5">
            <a:extLst>
              <a:ext uri="{FF2B5EF4-FFF2-40B4-BE49-F238E27FC236}">
                <a16:creationId xmlns:a16="http://schemas.microsoft.com/office/drawing/2014/main" id="{90CA0833-F156-9521-4E30-2C2BAA19A87A}"/>
              </a:ext>
            </a:extLst>
          </xdr:cNvPr>
          <xdr:cNvCxnSpPr/>
        </xdr:nvCxnSpPr>
        <xdr:spPr>
          <a:xfrm flipH="1">
            <a:off x="20261852" y="4365625"/>
            <a:ext cx="1934573" cy="39944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 name="Straight Arrow Connector 5">
            <a:extLst>
              <a:ext uri="{FF2B5EF4-FFF2-40B4-BE49-F238E27FC236}">
                <a16:creationId xmlns:a16="http://schemas.microsoft.com/office/drawing/2014/main" id="{215FED34-97EF-883A-9754-D17D0CA6E18B}"/>
              </a:ext>
            </a:extLst>
          </xdr:cNvPr>
          <xdr:cNvCxnSpPr>
            <a:stCxn id="15" idx="3"/>
          </xdr:cNvCxnSpPr>
        </xdr:nvCxnSpPr>
        <xdr:spPr>
          <a:xfrm>
            <a:off x="25053281" y="4143053"/>
            <a:ext cx="312415" cy="5764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1014726</xdr:colOff>
      <xdr:row>7</xdr:row>
      <xdr:rowOff>159177</xdr:rowOff>
    </xdr:from>
    <xdr:to>
      <xdr:col>20</xdr:col>
      <xdr:colOff>896634</xdr:colOff>
      <xdr:row>11</xdr:row>
      <xdr:rowOff>104979</xdr:rowOff>
    </xdr:to>
    <xdr:sp macro="" textlink="">
      <xdr:nvSpPr>
        <xdr:cNvPr id="14" name="TextBox 26">
          <a:extLst>
            <a:ext uri="{FF2B5EF4-FFF2-40B4-BE49-F238E27FC236}">
              <a16:creationId xmlns:a16="http://schemas.microsoft.com/office/drawing/2014/main" id="{B1EA3CA4-0E06-4AF4-8979-23D43A727171}"/>
            </a:ext>
          </a:extLst>
        </xdr:cNvPr>
        <xdr:cNvSpPr txBox="1"/>
      </xdr:nvSpPr>
      <xdr:spPr>
        <a:xfrm>
          <a:off x="17597751" y="2778552"/>
          <a:ext cx="2644158" cy="7078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693255</xdr:colOff>
      <xdr:row>14</xdr:row>
      <xdr:rowOff>8248</xdr:rowOff>
    </xdr:from>
    <xdr:to>
      <xdr:col>21</xdr:col>
      <xdr:colOff>590550</xdr:colOff>
      <xdr:row>17</xdr:row>
      <xdr:rowOff>122620</xdr:rowOff>
    </xdr:to>
    <xdr:sp macro="" textlink="">
      <xdr:nvSpPr>
        <xdr:cNvPr id="15" name="TextBox 27">
          <a:extLst>
            <a:ext uri="{FF2B5EF4-FFF2-40B4-BE49-F238E27FC236}">
              <a16:creationId xmlns:a16="http://schemas.microsoft.com/office/drawing/2014/main" id="{C3F7DD25-7872-464F-9B4E-588D234097EA}"/>
            </a:ext>
          </a:extLst>
        </xdr:cNvPr>
        <xdr:cNvSpPr txBox="1"/>
      </xdr:nvSpPr>
      <xdr:spPr>
        <a:xfrm>
          <a:off x="20505255" y="3961123"/>
          <a:ext cx="4174020" cy="68587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5</xdr:col>
      <xdr:colOff>92076</xdr:colOff>
      <xdr:row>95</xdr:row>
      <xdr:rowOff>88883</xdr:rowOff>
    </xdr:from>
    <xdr:to>
      <xdr:col>8</xdr:col>
      <xdr:colOff>971549</xdr:colOff>
      <xdr:row>98</xdr:row>
      <xdr:rowOff>104768</xdr:rowOff>
    </xdr:to>
    <xdr:grpSp>
      <xdr:nvGrpSpPr>
        <xdr:cNvPr id="16" name="Group 15">
          <a:extLst>
            <a:ext uri="{FF2B5EF4-FFF2-40B4-BE49-F238E27FC236}">
              <a16:creationId xmlns:a16="http://schemas.microsoft.com/office/drawing/2014/main" id="{A82674A2-B742-4120-8B7E-9DB57E81D6B6}"/>
            </a:ext>
          </a:extLst>
        </xdr:cNvPr>
        <xdr:cNvGrpSpPr/>
      </xdr:nvGrpSpPr>
      <xdr:grpSpPr>
        <a:xfrm>
          <a:off x="6689726" y="19221433"/>
          <a:ext cx="4664073" cy="568335"/>
          <a:chOff x="6432551" y="16522703"/>
          <a:chExt cx="5858338" cy="814512"/>
        </a:xfrm>
      </xdr:grpSpPr>
      <xdr:sp macro="" textlink="">
        <xdr:nvSpPr>
          <xdr:cNvPr id="17" name="TextBox 7">
            <a:extLst>
              <a:ext uri="{FF2B5EF4-FFF2-40B4-BE49-F238E27FC236}">
                <a16:creationId xmlns:a16="http://schemas.microsoft.com/office/drawing/2014/main" id="{45704DA1-3B3C-209F-49BF-AD2129C3A6C7}"/>
              </a:ext>
            </a:extLst>
          </xdr:cNvPr>
          <xdr:cNvSpPr txBox="1"/>
        </xdr:nvSpPr>
        <xdr:spPr>
          <a:xfrm>
            <a:off x="7137399" y="16573223"/>
            <a:ext cx="5153490" cy="76399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CO</a:t>
            </a:r>
            <a:r>
              <a:rPr lang="en-GB" sz="1100" baseline="-25000"/>
              <a:t>2</a:t>
            </a:r>
            <a:r>
              <a:rPr lang="en-GB" sz="1100" baseline="0"/>
              <a:t> capture rate and solid carbon conversion rate is linked to the response given in the Initial questions worksheet.</a:t>
            </a:r>
            <a:endParaRPr lang="en-GB" sz="1100"/>
          </a:p>
        </xdr:txBody>
      </xdr:sp>
      <xdr:cxnSp macro="">
        <xdr:nvCxnSpPr>
          <xdr:cNvPr id="18" name="Straight Arrow Connector 5">
            <a:extLst>
              <a:ext uri="{FF2B5EF4-FFF2-40B4-BE49-F238E27FC236}">
                <a16:creationId xmlns:a16="http://schemas.microsoft.com/office/drawing/2014/main" id="{1B537123-E77A-D60A-E45C-D07ECEADAA6C}"/>
              </a:ext>
            </a:extLst>
          </xdr:cNvPr>
          <xdr:cNvCxnSpPr>
            <a:stCxn id="17" idx="1"/>
          </xdr:cNvCxnSpPr>
        </xdr:nvCxnSpPr>
        <xdr:spPr>
          <a:xfrm flipH="1" flipV="1">
            <a:off x="6432551" y="16522703"/>
            <a:ext cx="704849" cy="43252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0</xdr:colOff>
      <xdr:row>4</xdr:row>
      <xdr:rowOff>0</xdr:rowOff>
    </xdr:from>
    <xdr:to>
      <xdr:col>2</xdr:col>
      <xdr:colOff>2371567</xdr:colOff>
      <xdr:row>4</xdr:row>
      <xdr:rowOff>828130</xdr:rowOff>
    </xdr:to>
    <xdr:sp macro="" textlink="">
      <xdr:nvSpPr>
        <xdr:cNvPr id="19" name="TextBox 17">
          <a:extLst>
            <a:ext uri="{FF2B5EF4-FFF2-40B4-BE49-F238E27FC236}">
              <a16:creationId xmlns:a16="http://schemas.microsoft.com/office/drawing/2014/main" id="{0AE6CF42-61A0-4D24-914C-41199BF67CB8}"/>
            </a:ext>
          </a:extLst>
        </xdr:cNvPr>
        <xdr:cNvSpPr txBox="1"/>
      </xdr:nvSpPr>
      <xdr:spPr>
        <a:xfrm>
          <a:off x="285750" y="1038225"/>
          <a:ext cx="3924142"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800100</xdr:colOff>
      <xdr:row>9</xdr:row>
      <xdr:rowOff>28575</xdr:rowOff>
    </xdr:from>
    <xdr:to>
      <xdr:col>15</xdr:col>
      <xdr:colOff>479653</xdr:colOff>
      <xdr:row>14</xdr:row>
      <xdr:rowOff>0</xdr:rowOff>
    </xdr:to>
    <xdr:cxnSp macro="">
      <xdr:nvCxnSpPr>
        <xdr:cNvPr id="20" name="Straight Arrow Connector 5">
          <a:extLst>
            <a:ext uri="{FF2B5EF4-FFF2-40B4-BE49-F238E27FC236}">
              <a16:creationId xmlns:a16="http://schemas.microsoft.com/office/drawing/2014/main" id="{838995C9-17EE-4343-A6DD-F3FF4BB6E389}"/>
            </a:ext>
          </a:extLst>
        </xdr:cNvPr>
        <xdr:cNvCxnSpPr>
          <a:stCxn id="25" idx="0"/>
        </xdr:cNvCxnSpPr>
      </xdr:nvCxnSpPr>
      <xdr:spPr>
        <a:xfrm flipH="1" flipV="1">
          <a:off x="17040225" y="2997200"/>
          <a:ext cx="940028" cy="8794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30069</xdr:colOff>
      <xdr:row>7</xdr:row>
      <xdr:rowOff>104402</xdr:rowOff>
    </xdr:from>
    <xdr:to>
      <xdr:col>14</xdr:col>
      <xdr:colOff>219075</xdr:colOff>
      <xdr:row>8</xdr:row>
      <xdr:rowOff>0</xdr:rowOff>
    </xdr:to>
    <xdr:cxnSp macro="">
      <xdr:nvCxnSpPr>
        <xdr:cNvPr id="21" name="Straight Arrow Connector 2">
          <a:extLst>
            <a:ext uri="{FF2B5EF4-FFF2-40B4-BE49-F238E27FC236}">
              <a16:creationId xmlns:a16="http://schemas.microsoft.com/office/drawing/2014/main" id="{A7A80DA7-EAE4-4637-A5F2-ABB85CEA8BBA}"/>
            </a:ext>
          </a:extLst>
        </xdr:cNvPr>
        <xdr:cNvCxnSpPr/>
      </xdr:nvCxnSpPr>
      <xdr:spPr>
        <a:xfrm>
          <a:off x="16267019" y="2717427"/>
          <a:ext cx="189006" cy="7339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981795</xdr:colOff>
      <xdr:row>8</xdr:row>
      <xdr:rowOff>104775</xdr:rowOff>
    </xdr:from>
    <xdr:to>
      <xdr:col>14</xdr:col>
      <xdr:colOff>142875</xdr:colOff>
      <xdr:row>8</xdr:row>
      <xdr:rowOff>105363</xdr:rowOff>
    </xdr:to>
    <xdr:cxnSp macro="">
      <xdr:nvCxnSpPr>
        <xdr:cNvPr id="22" name="Straight Arrow Connector 21">
          <a:extLst>
            <a:ext uri="{FF2B5EF4-FFF2-40B4-BE49-F238E27FC236}">
              <a16:creationId xmlns:a16="http://schemas.microsoft.com/office/drawing/2014/main" id="{83069F8C-D3C7-4D48-BE1B-8E9B427E328E}"/>
            </a:ext>
          </a:extLst>
        </xdr:cNvPr>
        <xdr:cNvCxnSpPr/>
      </xdr:nvCxnSpPr>
      <xdr:spPr>
        <a:xfrm flipV="1">
          <a:off x="16218620" y="2892425"/>
          <a:ext cx="161205" cy="58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495300</xdr:colOff>
      <xdr:row>1</xdr:row>
      <xdr:rowOff>92710</xdr:rowOff>
    </xdr:from>
    <xdr:to>
      <xdr:col>14</xdr:col>
      <xdr:colOff>818243</xdr:colOff>
      <xdr:row>4</xdr:row>
      <xdr:rowOff>304800</xdr:rowOff>
    </xdr:to>
    <xdr:cxnSp macro="">
      <xdr:nvCxnSpPr>
        <xdr:cNvPr id="23" name="Straight Arrow Connector 20">
          <a:extLst>
            <a:ext uri="{FF2B5EF4-FFF2-40B4-BE49-F238E27FC236}">
              <a16:creationId xmlns:a16="http://schemas.microsoft.com/office/drawing/2014/main" id="{039D4D55-CA25-4FBC-99B9-65E97B7D0CB6}"/>
            </a:ext>
          </a:extLst>
        </xdr:cNvPr>
        <xdr:cNvCxnSpPr>
          <a:cxnSpLocks/>
        </xdr:cNvCxnSpPr>
      </xdr:nvCxnSpPr>
      <xdr:spPr>
        <a:xfrm flipH="1">
          <a:off x="15735300" y="492760"/>
          <a:ext cx="1323068" cy="85979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xdr:colOff>
      <xdr:row>7</xdr:row>
      <xdr:rowOff>95250</xdr:rowOff>
    </xdr:from>
    <xdr:to>
      <xdr:col>13</xdr:col>
      <xdr:colOff>27214</xdr:colOff>
      <xdr:row>7</xdr:row>
      <xdr:rowOff>95251</xdr:rowOff>
    </xdr:to>
    <xdr:cxnSp macro="">
      <xdr:nvCxnSpPr>
        <xdr:cNvPr id="24" name="Straight Arrow Connector 5">
          <a:extLst>
            <a:ext uri="{FF2B5EF4-FFF2-40B4-BE49-F238E27FC236}">
              <a16:creationId xmlns:a16="http://schemas.microsoft.com/office/drawing/2014/main" id="{9AFD29E7-430F-4A65-B5B8-386946AEA2EA}"/>
            </a:ext>
          </a:extLst>
        </xdr:cNvPr>
        <xdr:cNvCxnSpPr/>
      </xdr:nvCxnSpPr>
      <xdr:spPr>
        <a:xfrm flipV="1">
          <a:off x="12353926" y="2705100"/>
          <a:ext cx="2916463" cy="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625930</xdr:colOff>
      <xdr:row>14</xdr:row>
      <xdr:rowOff>0</xdr:rowOff>
    </xdr:from>
    <xdr:to>
      <xdr:col>16</xdr:col>
      <xdr:colOff>876301</xdr:colOff>
      <xdr:row>17</xdr:row>
      <xdr:rowOff>122121</xdr:rowOff>
    </xdr:to>
    <xdr:sp macro="" textlink="">
      <xdr:nvSpPr>
        <xdr:cNvPr id="25" name="TextBox 7">
          <a:extLst>
            <a:ext uri="{FF2B5EF4-FFF2-40B4-BE49-F238E27FC236}">
              <a16:creationId xmlns:a16="http://schemas.microsoft.com/office/drawing/2014/main" id="{51AF10D2-3447-4C2C-A328-2FA92A6D3111}"/>
            </a:ext>
          </a:extLst>
        </xdr:cNvPr>
        <xdr:cNvSpPr txBox="1"/>
      </xdr:nvSpPr>
      <xdr:spPr>
        <a:xfrm>
          <a:off x="16866055" y="3876675"/>
          <a:ext cx="2222046" cy="66822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hydrogen output.</a:t>
          </a:r>
          <a:endParaRPr lang="en-GB" sz="1100"/>
        </a:p>
      </xdr:txBody>
    </xdr:sp>
    <xdr:clientData/>
  </xdr:twoCellAnchor>
  <xdr:twoCellAnchor>
    <xdr:from>
      <xdr:col>14</xdr:col>
      <xdr:colOff>819150</xdr:colOff>
      <xdr:row>0</xdr:row>
      <xdr:rowOff>152400</xdr:rowOff>
    </xdr:from>
    <xdr:to>
      <xdr:col>19</xdr:col>
      <xdr:colOff>752475</xdr:colOff>
      <xdr:row>2</xdr:row>
      <xdr:rowOff>159384</xdr:rowOff>
    </xdr:to>
    <xdr:sp macro="" textlink="">
      <xdr:nvSpPr>
        <xdr:cNvPr id="26" name="TextBox 8">
          <a:extLst>
            <a:ext uri="{FF2B5EF4-FFF2-40B4-BE49-F238E27FC236}">
              <a16:creationId xmlns:a16="http://schemas.microsoft.com/office/drawing/2014/main" id="{A5BA1B70-2579-4B53-818C-D9304E3F5D9B}"/>
            </a:ext>
          </a:extLst>
        </xdr:cNvPr>
        <xdr:cNvSpPr txBox="1"/>
      </xdr:nvSpPr>
      <xdr:spPr>
        <a:xfrm>
          <a:off x="17059275" y="152400"/>
          <a:ext cx="5895975"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twoCellAnchor>
    <xdr:from>
      <xdr:col>16</xdr:col>
      <xdr:colOff>533400</xdr:colOff>
      <xdr:row>2</xdr:row>
      <xdr:rowOff>161925</xdr:rowOff>
    </xdr:from>
    <xdr:to>
      <xdr:col>16</xdr:col>
      <xdr:colOff>533400</xdr:colOff>
      <xdr:row>4</xdr:row>
      <xdr:rowOff>314325</xdr:rowOff>
    </xdr:to>
    <xdr:cxnSp macro="">
      <xdr:nvCxnSpPr>
        <xdr:cNvPr id="27" name="Straight Arrow Connector 26">
          <a:extLst>
            <a:ext uri="{FF2B5EF4-FFF2-40B4-BE49-F238E27FC236}">
              <a16:creationId xmlns:a16="http://schemas.microsoft.com/office/drawing/2014/main" id="{5C001D0E-4756-480E-B8A6-E0D409347E7E}"/>
            </a:ext>
          </a:extLst>
        </xdr:cNvPr>
        <xdr:cNvCxnSpPr>
          <a:cxnSpLocks/>
        </xdr:cNvCxnSpPr>
      </xdr:nvCxnSpPr>
      <xdr:spPr>
        <a:xfrm>
          <a:off x="17916525" y="819150"/>
          <a:ext cx="0"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830036</xdr:colOff>
      <xdr:row>22</xdr:row>
      <xdr:rowOff>149678</xdr:rowOff>
    </xdr:from>
    <xdr:to>
      <xdr:col>19</xdr:col>
      <xdr:colOff>657226</xdr:colOff>
      <xdr:row>25</xdr:row>
      <xdr:rowOff>125640</xdr:rowOff>
    </xdr:to>
    <xdr:cxnSp macro="">
      <xdr:nvCxnSpPr>
        <xdr:cNvPr id="2" name="Straight Arrow Connector 5">
          <a:extLst>
            <a:ext uri="{FF2B5EF4-FFF2-40B4-BE49-F238E27FC236}">
              <a16:creationId xmlns:a16="http://schemas.microsoft.com/office/drawing/2014/main" id="{FBFFCEE9-FBAA-4C3F-A8D5-AAE6565576F5}"/>
            </a:ext>
          </a:extLst>
        </xdr:cNvPr>
        <xdr:cNvCxnSpPr/>
      </xdr:nvCxnSpPr>
      <xdr:spPr>
        <a:xfrm flipH="1">
          <a:off x="21600886" y="5528128"/>
          <a:ext cx="1274990" cy="52841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284625</xdr:colOff>
      <xdr:row>24</xdr:row>
      <xdr:rowOff>34128</xdr:rowOff>
    </xdr:from>
    <xdr:to>
      <xdr:col>21</xdr:col>
      <xdr:colOff>495300</xdr:colOff>
      <xdr:row>25</xdr:row>
      <xdr:rowOff>171450</xdr:rowOff>
    </xdr:to>
    <xdr:cxnSp macro="">
      <xdr:nvCxnSpPr>
        <xdr:cNvPr id="3" name="Straight Arrow Connector 5">
          <a:extLst>
            <a:ext uri="{FF2B5EF4-FFF2-40B4-BE49-F238E27FC236}">
              <a16:creationId xmlns:a16="http://schemas.microsoft.com/office/drawing/2014/main" id="{13EB653B-9212-462C-ABC3-07E4F130FB1F}"/>
            </a:ext>
          </a:extLst>
        </xdr:cNvPr>
        <xdr:cNvCxnSpPr>
          <a:stCxn id="4" idx="2"/>
        </xdr:cNvCxnSpPr>
      </xdr:nvCxnSpPr>
      <xdr:spPr>
        <a:xfrm>
          <a:off x="23951075" y="5780878"/>
          <a:ext cx="1798175" cy="32147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869950</xdr:colOff>
      <xdr:row>20</xdr:row>
      <xdr:rowOff>111125</xdr:rowOff>
    </xdr:from>
    <xdr:to>
      <xdr:col>21</xdr:col>
      <xdr:colOff>947074</xdr:colOff>
      <xdr:row>24</xdr:row>
      <xdr:rowOff>34128</xdr:rowOff>
    </xdr:to>
    <xdr:sp macro="" textlink="">
      <xdr:nvSpPr>
        <xdr:cNvPr id="4" name="TextBox 27">
          <a:extLst>
            <a:ext uri="{FF2B5EF4-FFF2-40B4-BE49-F238E27FC236}">
              <a16:creationId xmlns:a16="http://schemas.microsoft.com/office/drawing/2014/main" id="{48C4A0A5-3A14-4664-86A5-11FD2A414392}"/>
            </a:ext>
          </a:extLst>
        </xdr:cNvPr>
        <xdr:cNvSpPr txBox="1"/>
      </xdr:nvSpPr>
      <xdr:spPr>
        <a:xfrm>
          <a:off x="21640800" y="5121275"/>
          <a:ext cx="4560224" cy="6596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3</xdr:row>
      <xdr:rowOff>186266</xdr:rowOff>
    </xdr:from>
    <xdr:to>
      <xdr:col>2</xdr:col>
      <xdr:colOff>2376049</xdr:colOff>
      <xdr:row>4</xdr:row>
      <xdr:rowOff>819663</xdr:rowOff>
    </xdr:to>
    <xdr:sp macro="" textlink="">
      <xdr:nvSpPr>
        <xdr:cNvPr id="5" name="TextBox 17">
          <a:extLst>
            <a:ext uri="{FF2B5EF4-FFF2-40B4-BE49-F238E27FC236}">
              <a16:creationId xmlns:a16="http://schemas.microsoft.com/office/drawing/2014/main" id="{FCC7FBA3-6DB7-4F4F-AFF6-0EC345737CB7}"/>
            </a:ext>
          </a:extLst>
        </xdr:cNvPr>
        <xdr:cNvSpPr txBox="1"/>
      </xdr:nvSpPr>
      <xdr:spPr>
        <a:xfrm>
          <a:off x="298450" y="1037166"/>
          <a:ext cx="4001649" cy="83024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13</xdr:col>
      <xdr:colOff>438150</xdr:colOff>
      <xdr:row>1</xdr:row>
      <xdr:rowOff>52707</xdr:rowOff>
    </xdr:from>
    <xdr:to>
      <xdr:col>14</xdr:col>
      <xdr:colOff>263525</xdr:colOff>
      <xdr:row>4</xdr:row>
      <xdr:rowOff>361950</xdr:rowOff>
    </xdr:to>
    <xdr:cxnSp macro="">
      <xdr:nvCxnSpPr>
        <xdr:cNvPr id="6" name="Straight Arrow Connector 20">
          <a:extLst>
            <a:ext uri="{FF2B5EF4-FFF2-40B4-BE49-F238E27FC236}">
              <a16:creationId xmlns:a16="http://schemas.microsoft.com/office/drawing/2014/main" id="{37139843-1EAB-4D3F-A615-44FF4EBEC45A}"/>
            </a:ext>
          </a:extLst>
        </xdr:cNvPr>
        <xdr:cNvCxnSpPr>
          <a:cxnSpLocks/>
        </xdr:cNvCxnSpPr>
      </xdr:nvCxnSpPr>
      <xdr:spPr>
        <a:xfrm flipH="1">
          <a:off x="15684500" y="452757"/>
          <a:ext cx="822325" cy="95694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542925</xdr:colOff>
      <xdr:row>2</xdr:row>
      <xdr:rowOff>152400</xdr:rowOff>
    </xdr:from>
    <xdr:to>
      <xdr:col>16</xdr:col>
      <xdr:colOff>550609</xdr:colOff>
      <xdr:row>4</xdr:row>
      <xdr:rowOff>342900</xdr:rowOff>
    </xdr:to>
    <xdr:cxnSp macro="">
      <xdr:nvCxnSpPr>
        <xdr:cNvPr id="7" name="Straight Arrow Connector 6">
          <a:extLst>
            <a:ext uri="{FF2B5EF4-FFF2-40B4-BE49-F238E27FC236}">
              <a16:creationId xmlns:a16="http://schemas.microsoft.com/office/drawing/2014/main" id="{56C07F43-D6F0-4218-884F-F45BB2995BD3}"/>
            </a:ext>
          </a:extLst>
        </xdr:cNvPr>
        <xdr:cNvCxnSpPr>
          <a:cxnSpLocks/>
        </xdr:cNvCxnSpPr>
      </xdr:nvCxnSpPr>
      <xdr:spPr>
        <a:xfrm>
          <a:off x="18773775" y="812800"/>
          <a:ext cx="7684" cy="5778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224118</xdr:colOff>
      <xdr:row>0</xdr:row>
      <xdr:rowOff>145676</xdr:rowOff>
    </xdr:from>
    <xdr:to>
      <xdr:col>19</xdr:col>
      <xdr:colOff>139327</xdr:colOff>
      <xdr:row>2</xdr:row>
      <xdr:rowOff>148738</xdr:rowOff>
    </xdr:to>
    <xdr:sp macro="" textlink="">
      <xdr:nvSpPr>
        <xdr:cNvPr id="8" name="TextBox 8">
          <a:extLst>
            <a:ext uri="{FF2B5EF4-FFF2-40B4-BE49-F238E27FC236}">
              <a16:creationId xmlns:a16="http://schemas.microsoft.com/office/drawing/2014/main" id="{02029BC0-606D-4012-B155-47D81258F9EC}"/>
            </a:ext>
          </a:extLst>
        </xdr:cNvPr>
        <xdr:cNvSpPr txBox="1"/>
      </xdr:nvSpPr>
      <xdr:spPr>
        <a:xfrm>
          <a:off x="16467418" y="145676"/>
          <a:ext cx="5890559" cy="66346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twoCellAnchor>
    <xdr:from>
      <xdr:col>17</xdr:col>
      <xdr:colOff>1132350</xdr:colOff>
      <xdr:row>19</xdr:row>
      <xdr:rowOff>23695</xdr:rowOff>
    </xdr:from>
    <xdr:to>
      <xdr:col>18</xdr:col>
      <xdr:colOff>368988</xdr:colOff>
      <xdr:row>19</xdr:row>
      <xdr:rowOff>102162</xdr:rowOff>
    </xdr:to>
    <xdr:cxnSp macro="">
      <xdr:nvCxnSpPr>
        <xdr:cNvPr id="9" name="Straight Arrow Connector 5">
          <a:extLst>
            <a:ext uri="{FF2B5EF4-FFF2-40B4-BE49-F238E27FC236}">
              <a16:creationId xmlns:a16="http://schemas.microsoft.com/office/drawing/2014/main" id="{B08074DD-4EE1-49F3-82F8-DD92909449C9}"/>
            </a:ext>
          </a:extLst>
        </xdr:cNvPr>
        <xdr:cNvCxnSpPr>
          <a:stCxn id="10" idx="1"/>
        </xdr:cNvCxnSpPr>
      </xdr:nvCxnSpPr>
      <xdr:spPr>
        <a:xfrm flipH="1">
          <a:off x="20677650" y="4849695"/>
          <a:ext cx="462188" cy="784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372163</xdr:colOff>
      <xdr:row>17</xdr:row>
      <xdr:rowOff>129378</xdr:rowOff>
    </xdr:from>
    <xdr:to>
      <xdr:col>21</xdr:col>
      <xdr:colOff>280062</xdr:colOff>
      <xdr:row>20</xdr:row>
      <xdr:rowOff>88555</xdr:rowOff>
    </xdr:to>
    <xdr:sp macro="" textlink="">
      <xdr:nvSpPr>
        <xdr:cNvPr id="10" name="TextBox 9">
          <a:extLst>
            <a:ext uri="{FF2B5EF4-FFF2-40B4-BE49-F238E27FC236}">
              <a16:creationId xmlns:a16="http://schemas.microsoft.com/office/drawing/2014/main" id="{90F10DC3-4C8C-47BB-B3F6-8E938BF837BB}"/>
            </a:ext>
          </a:extLst>
        </xdr:cNvPr>
        <xdr:cNvSpPr txBox="1"/>
      </xdr:nvSpPr>
      <xdr:spPr>
        <a:xfrm>
          <a:off x="21143013" y="4587078"/>
          <a:ext cx="4390999" cy="51162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18</xdr:col>
      <xdr:colOff>0</xdr:colOff>
      <xdr:row>19</xdr:row>
      <xdr:rowOff>16783</xdr:rowOff>
    </xdr:from>
    <xdr:to>
      <xdr:col>18</xdr:col>
      <xdr:colOff>408213</xdr:colOff>
      <xdr:row>19</xdr:row>
      <xdr:rowOff>95250</xdr:rowOff>
    </xdr:to>
    <xdr:cxnSp macro="">
      <xdr:nvCxnSpPr>
        <xdr:cNvPr id="2" name="Straight Arrow Connector 5">
          <a:extLst>
            <a:ext uri="{FF2B5EF4-FFF2-40B4-BE49-F238E27FC236}">
              <a16:creationId xmlns:a16="http://schemas.microsoft.com/office/drawing/2014/main" id="{89D49C0D-08AF-425B-AF93-136E9C8B8E59}"/>
            </a:ext>
          </a:extLst>
        </xdr:cNvPr>
        <xdr:cNvCxnSpPr>
          <a:stCxn id="5" idx="1"/>
        </xdr:cNvCxnSpPr>
      </xdr:nvCxnSpPr>
      <xdr:spPr>
        <a:xfrm flipH="1">
          <a:off x="20770850" y="4842783"/>
          <a:ext cx="408213" cy="784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982891</xdr:colOff>
      <xdr:row>24</xdr:row>
      <xdr:rowOff>122464</xdr:rowOff>
    </xdr:from>
    <xdr:to>
      <xdr:col>19</xdr:col>
      <xdr:colOff>503465</xdr:colOff>
      <xdr:row>25</xdr:row>
      <xdr:rowOff>163286</xdr:rowOff>
    </xdr:to>
    <xdr:cxnSp macro="">
      <xdr:nvCxnSpPr>
        <xdr:cNvPr id="3" name="Straight Arrow Connector 5">
          <a:extLst>
            <a:ext uri="{FF2B5EF4-FFF2-40B4-BE49-F238E27FC236}">
              <a16:creationId xmlns:a16="http://schemas.microsoft.com/office/drawing/2014/main" id="{9A73FA64-94CB-4AD9-85D7-E6AC559DCDED}"/>
            </a:ext>
          </a:extLst>
        </xdr:cNvPr>
        <xdr:cNvCxnSpPr/>
      </xdr:nvCxnSpPr>
      <xdr:spPr>
        <a:xfrm flipH="1">
          <a:off x="21753741" y="5869214"/>
          <a:ext cx="968374" cy="22497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1283843</xdr:colOff>
      <xdr:row>24</xdr:row>
      <xdr:rowOff>106700</xdr:rowOff>
    </xdr:from>
    <xdr:to>
      <xdr:col>21</xdr:col>
      <xdr:colOff>731611</xdr:colOff>
      <xdr:row>25</xdr:row>
      <xdr:rowOff>125639</xdr:rowOff>
    </xdr:to>
    <xdr:cxnSp macro="">
      <xdr:nvCxnSpPr>
        <xdr:cNvPr id="4" name="Straight Arrow Connector 5">
          <a:extLst>
            <a:ext uri="{FF2B5EF4-FFF2-40B4-BE49-F238E27FC236}">
              <a16:creationId xmlns:a16="http://schemas.microsoft.com/office/drawing/2014/main" id="{EE1E20AD-5B5C-48D4-B8C3-B4467D3B154D}"/>
            </a:ext>
          </a:extLst>
        </xdr:cNvPr>
        <xdr:cNvCxnSpPr>
          <a:cxnSpLocks/>
          <a:stCxn id="6" idx="2"/>
        </xdr:cNvCxnSpPr>
      </xdr:nvCxnSpPr>
      <xdr:spPr>
        <a:xfrm>
          <a:off x="23502493" y="5853450"/>
          <a:ext cx="2483068" cy="20308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411388</xdr:colOff>
      <xdr:row>17</xdr:row>
      <xdr:rowOff>122466</xdr:rowOff>
    </xdr:from>
    <xdr:to>
      <xdr:col>21</xdr:col>
      <xdr:colOff>326571</xdr:colOff>
      <xdr:row>20</xdr:row>
      <xdr:rowOff>81643</xdr:rowOff>
    </xdr:to>
    <xdr:sp macro="" textlink="">
      <xdr:nvSpPr>
        <xdr:cNvPr id="5" name="TextBox 11">
          <a:extLst>
            <a:ext uri="{FF2B5EF4-FFF2-40B4-BE49-F238E27FC236}">
              <a16:creationId xmlns:a16="http://schemas.microsoft.com/office/drawing/2014/main" id="{97F2ECD0-CEB5-4D9C-9A9B-61B8721B73E3}"/>
            </a:ext>
          </a:extLst>
        </xdr:cNvPr>
        <xdr:cNvSpPr txBox="1"/>
      </xdr:nvSpPr>
      <xdr:spPr>
        <a:xfrm>
          <a:off x="21182238" y="4580166"/>
          <a:ext cx="4398283" cy="51162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680358</xdr:colOff>
      <xdr:row>21</xdr:row>
      <xdr:rowOff>0</xdr:rowOff>
    </xdr:from>
    <xdr:to>
      <xdr:col>21</xdr:col>
      <xdr:colOff>761110</xdr:colOff>
      <xdr:row>24</xdr:row>
      <xdr:rowOff>103525</xdr:rowOff>
    </xdr:to>
    <xdr:sp macro="" textlink="">
      <xdr:nvSpPr>
        <xdr:cNvPr id="6" name="TextBox 27">
          <a:extLst>
            <a:ext uri="{FF2B5EF4-FFF2-40B4-BE49-F238E27FC236}">
              <a16:creationId xmlns:a16="http://schemas.microsoft.com/office/drawing/2014/main" id="{F77017D9-031B-465C-845D-FBE9DC592E3F}"/>
            </a:ext>
          </a:extLst>
        </xdr:cNvPr>
        <xdr:cNvSpPr txBox="1"/>
      </xdr:nvSpPr>
      <xdr:spPr>
        <a:xfrm>
          <a:off x="21451208" y="5194300"/>
          <a:ext cx="4563852" cy="6559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e/kg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7" name="TextBox 17">
          <a:extLst>
            <a:ext uri="{FF2B5EF4-FFF2-40B4-BE49-F238E27FC236}">
              <a16:creationId xmlns:a16="http://schemas.microsoft.com/office/drawing/2014/main" id="{DE97FD6B-4CAC-4119-B661-D2B2B7C44FA5}"/>
            </a:ext>
          </a:extLst>
        </xdr:cNvPr>
        <xdr:cNvSpPr txBox="1"/>
      </xdr:nvSpPr>
      <xdr:spPr>
        <a:xfrm>
          <a:off x="298450" y="1047750"/>
          <a:ext cx="3997167"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981075</xdr:colOff>
      <xdr:row>20</xdr:row>
      <xdr:rowOff>19050</xdr:rowOff>
    </xdr:from>
    <xdr:to>
      <xdr:col>15</xdr:col>
      <xdr:colOff>284616</xdr:colOff>
      <xdr:row>23</xdr:row>
      <xdr:rowOff>908</xdr:rowOff>
    </xdr:to>
    <xdr:cxnSp macro="">
      <xdr:nvCxnSpPr>
        <xdr:cNvPr id="8" name="Straight Arrow Connector 5">
          <a:extLst>
            <a:ext uri="{FF2B5EF4-FFF2-40B4-BE49-F238E27FC236}">
              <a16:creationId xmlns:a16="http://schemas.microsoft.com/office/drawing/2014/main" id="{E27342CB-AED9-47E0-A141-5C318E7A712F}"/>
            </a:ext>
          </a:extLst>
        </xdr:cNvPr>
        <xdr:cNvCxnSpPr>
          <a:stCxn id="12" idx="0"/>
        </xdr:cNvCxnSpPr>
      </xdr:nvCxnSpPr>
      <xdr:spPr>
        <a:xfrm flipH="1" flipV="1">
          <a:off x="17224375" y="5029200"/>
          <a:ext cx="732291" cy="53430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xdr:row>
      <xdr:rowOff>82550</xdr:rowOff>
    </xdr:from>
    <xdr:to>
      <xdr:col>14</xdr:col>
      <xdr:colOff>247650</xdr:colOff>
      <xdr:row>19</xdr:row>
      <xdr:rowOff>19050</xdr:rowOff>
    </xdr:to>
    <xdr:cxnSp macro="">
      <xdr:nvCxnSpPr>
        <xdr:cNvPr id="9" name="Straight Arrow Connector 8">
          <a:extLst>
            <a:ext uri="{FF2B5EF4-FFF2-40B4-BE49-F238E27FC236}">
              <a16:creationId xmlns:a16="http://schemas.microsoft.com/office/drawing/2014/main" id="{96DF05C6-B0B1-4E8D-86A0-87483D3ABADA}"/>
            </a:ext>
          </a:extLst>
        </xdr:cNvPr>
        <xdr:cNvCxnSpPr/>
      </xdr:nvCxnSpPr>
      <xdr:spPr>
        <a:xfrm>
          <a:off x="16271875" y="2698750"/>
          <a:ext cx="219075" cy="214630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15875</xdr:colOff>
      <xdr:row>19</xdr:row>
      <xdr:rowOff>85725</xdr:rowOff>
    </xdr:from>
    <xdr:to>
      <xdr:col>14</xdr:col>
      <xdr:colOff>152400</xdr:colOff>
      <xdr:row>19</xdr:row>
      <xdr:rowOff>88155</xdr:rowOff>
    </xdr:to>
    <xdr:cxnSp macro="">
      <xdr:nvCxnSpPr>
        <xdr:cNvPr id="10" name="Straight Arrow Connector 9">
          <a:extLst>
            <a:ext uri="{FF2B5EF4-FFF2-40B4-BE49-F238E27FC236}">
              <a16:creationId xmlns:a16="http://schemas.microsoft.com/office/drawing/2014/main" id="{C089BCB0-0C13-4BC2-AC44-037595B18AA3}"/>
            </a:ext>
          </a:extLst>
        </xdr:cNvPr>
        <xdr:cNvCxnSpPr/>
      </xdr:nvCxnSpPr>
      <xdr:spPr>
        <a:xfrm flipV="1">
          <a:off x="16259175" y="4911725"/>
          <a:ext cx="136525" cy="243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438150</xdr:colOff>
      <xdr:row>1</xdr:row>
      <xdr:rowOff>43182</xdr:rowOff>
    </xdr:from>
    <xdr:to>
      <xdr:col>14</xdr:col>
      <xdr:colOff>476250</xdr:colOff>
      <xdr:row>4</xdr:row>
      <xdr:rowOff>361950</xdr:rowOff>
    </xdr:to>
    <xdr:cxnSp macro="">
      <xdr:nvCxnSpPr>
        <xdr:cNvPr id="11" name="Straight Arrow Connector 20">
          <a:extLst>
            <a:ext uri="{FF2B5EF4-FFF2-40B4-BE49-F238E27FC236}">
              <a16:creationId xmlns:a16="http://schemas.microsoft.com/office/drawing/2014/main" id="{38BAFAF5-563F-4437-8E1B-E07350349D2A}"/>
            </a:ext>
          </a:extLst>
        </xdr:cNvPr>
        <xdr:cNvCxnSpPr>
          <a:cxnSpLocks/>
        </xdr:cNvCxnSpPr>
      </xdr:nvCxnSpPr>
      <xdr:spPr>
        <a:xfrm flipH="1">
          <a:off x="15684500" y="443232"/>
          <a:ext cx="1035050" cy="96646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610506</xdr:colOff>
      <xdr:row>22</xdr:row>
      <xdr:rowOff>178708</xdr:rowOff>
    </xdr:from>
    <xdr:to>
      <xdr:col>16</xdr:col>
      <xdr:colOff>828675</xdr:colOff>
      <xdr:row>26</xdr:row>
      <xdr:rowOff>73025</xdr:rowOff>
    </xdr:to>
    <xdr:sp macro="" textlink="">
      <xdr:nvSpPr>
        <xdr:cNvPr id="12" name="TextBox 11">
          <a:extLst>
            <a:ext uri="{FF2B5EF4-FFF2-40B4-BE49-F238E27FC236}">
              <a16:creationId xmlns:a16="http://schemas.microsoft.com/office/drawing/2014/main" id="{29289652-FF8E-418F-AE2F-98722350D95C}"/>
            </a:ext>
          </a:extLst>
        </xdr:cNvPr>
        <xdr:cNvSpPr txBox="1"/>
      </xdr:nvSpPr>
      <xdr:spPr>
        <a:xfrm>
          <a:off x="16853806" y="5557158"/>
          <a:ext cx="2205719" cy="63091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495549</xdr:colOff>
      <xdr:row>2</xdr:row>
      <xdr:rowOff>86535</xdr:rowOff>
    </xdr:from>
    <xdr:to>
      <xdr:col>16</xdr:col>
      <xdr:colOff>495549</xdr:colOff>
      <xdr:row>4</xdr:row>
      <xdr:rowOff>376518</xdr:rowOff>
    </xdr:to>
    <xdr:cxnSp macro="">
      <xdr:nvCxnSpPr>
        <xdr:cNvPr id="13" name="Straight Arrow Connector 12">
          <a:extLst>
            <a:ext uri="{FF2B5EF4-FFF2-40B4-BE49-F238E27FC236}">
              <a16:creationId xmlns:a16="http://schemas.microsoft.com/office/drawing/2014/main" id="{F23AF320-E006-4A56-9BF5-854CF8A634B1}"/>
            </a:ext>
          </a:extLst>
        </xdr:cNvPr>
        <xdr:cNvCxnSpPr>
          <a:cxnSpLocks/>
        </xdr:cNvCxnSpPr>
      </xdr:nvCxnSpPr>
      <xdr:spPr>
        <a:xfrm>
          <a:off x="18726399" y="746935"/>
          <a:ext cx="0" cy="67733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465666</xdr:colOff>
      <xdr:row>0</xdr:row>
      <xdr:rowOff>116416</xdr:rowOff>
    </xdr:from>
    <xdr:to>
      <xdr:col>19</xdr:col>
      <xdr:colOff>396732</xdr:colOff>
      <xdr:row>2</xdr:row>
      <xdr:rowOff>117393</xdr:rowOff>
    </xdr:to>
    <xdr:sp macro="" textlink="">
      <xdr:nvSpPr>
        <xdr:cNvPr id="14" name="TextBox 13">
          <a:extLst>
            <a:ext uri="{FF2B5EF4-FFF2-40B4-BE49-F238E27FC236}">
              <a16:creationId xmlns:a16="http://schemas.microsoft.com/office/drawing/2014/main" id="{E583F7A8-EB88-4BFE-BC19-EA568826FF70}"/>
            </a:ext>
          </a:extLst>
        </xdr:cNvPr>
        <xdr:cNvSpPr txBox="1"/>
      </xdr:nvSpPr>
      <xdr:spPr>
        <a:xfrm>
          <a:off x="16708966" y="116416"/>
          <a:ext cx="5906416" cy="66137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628650</xdr:colOff>
      <xdr:row>20</xdr:row>
      <xdr:rowOff>0</xdr:rowOff>
    </xdr:from>
    <xdr:to>
      <xdr:col>15</xdr:col>
      <xdr:colOff>266065</xdr:colOff>
      <xdr:row>32</xdr:row>
      <xdr:rowOff>28485</xdr:rowOff>
    </xdr:to>
    <xdr:cxnSp macro="">
      <xdr:nvCxnSpPr>
        <xdr:cNvPr id="2" name="Straight Arrow Connector 5">
          <a:extLst>
            <a:ext uri="{FF2B5EF4-FFF2-40B4-BE49-F238E27FC236}">
              <a16:creationId xmlns:a16="http://schemas.microsoft.com/office/drawing/2014/main" id="{FE9BEF73-BDA3-4888-AA49-E518377CF31C}"/>
            </a:ext>
          </a:extLst>
        </xdr:cNvPr>
        <xdr:cNvCxnSpPr>
          <a:stCxn id="7" idx="0"/>
        </xdr:cNvCxnSpPr>
      </xdr:nvCxnSpPr>
      <xdr:spPr>
        <a:xfrm flipH="1" flipV="1">
          <a:off x="16871950" y="5010150"/>
          <a:ext cx="945515" cy="76508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xdr:colOff>
      <xdr:row>7</xdr:row>
      <xdr:rowOff>104775</xdr:rowOff>
    </xdr:from>
    <xdr:to>
      <xdr:col>14</xdr:col>
      <xdr:colOff>152400</xdr:colOff>
      <xdr:row>19</xdr:row>
      <xdr:rowOff>27214</xdr:rowOff>
    </xdr:to>
    <xdr:cxnSp macro="">
      <xdr:nvCxnSpPr>
        <xdr:cNvPr id="3" name="Straight Arrow Connector 2">
          <a:extLst>
            <a:ext uri="{FF2B5EF4-FFF2-40B4-BE49-F238E27FC236}">
              <a16:creationId xmlns:a16="http://schemas.microsoft.com/office/drawing/2014/main" id="{4AAF44FA-40F3-4E5D-A357-ACEE5E176CA4}"/>
            </a:ext>
          </a:extLst>
        </xdr:cNvPr>
        <xdr:cNvCxnSpPr/>
      </xdr:nvCxnSpPr>
      <xdr:spPr>
        <a:xfrm>
          <a:off x="16252825" y="2720975"/>
          <a:ext cx="142875" cy="213223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xdr:colOff>
      <xdr:row>19</xdr:row>
      <xdr:rowOff>95250</xdr:rowOff>
    </xdr:from>
    <xdr:to>
      <xdr:col>14</xdr:col>
      <xdr:colOff>142875</xdr:colOff>
      <xdr:row>19</xdr:row>
      <xdr:rowOff>95250</xdr:rowOff>
    </xdr:to>
    <xdr:cxnSp macro="">
      <xdr:nvCxnSpPr>
        <xdr:cNvPr id="4" name="Straight Arrow Connector 3">
          <a:extLst>
            <a:ext uri="{FF2B5EF4-FFF2-40B4-BE49-F238E27FC236}">
              <a16:creationId xmlns:a16="http://schemas.microsoft.com/office/drawing/2014/main" id="{191D48B8-9569-402A-B00A-F15A4A30D08A}"/>
            </a:ext>
          </a:extLst>
        </xdr:cNvPr>
        <xdr:cNvCxnSpPr/>
      </xdr:nvCxnSpPr>
      <xdr:spPr>
        <a:xfrm>
          <a:off x="16262350" y="4921250"/>
          <a:ext cx="123825"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979716</xdr:colOff>
      <xdr:row>32</xdr:row>
      <xdr:rowOff>125639</xdr:rowOff>
    </xdr:from>
    <xdr:to>
      <xdr:col>19</xdr:col>
      <xdr:colOff>506640</xdr:colOff>
      <xdr:row>33</xdr:row>
      <xdr:rowOff>160111</xdr:rowOff>
    </xdr:to>
    <xdr:cxnSp macro="">
      <xdr:nvCxnSpPr>
        <xdr:cNvPr id="5" name="Straight Arrow Connector 5">
          <a:extLst>
            <a:ext uri="{FF2B5EF4-FFF2-40B4-BE49-F238E27FC236}">
              <a16:creationId xmlns:a16="http://schemas.microsoft.com/office/drawing/2014/main" id="{D88F48F7-7E16-4E24-9F21-51907677BA15}"/>
            </a:ext>
          </a:extLst>
        </xdr:cNvPr>
        <xdr:cNvCxnSpPr/>
      </xdr:nvCxnSpPr>
      <xdr:spPr>
        <a:xfrm flipH="1">
          <a:off x="21553716" y="5872389"/>
          <a:ext cx="974724" cy="21862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423409</xdr:colOff>
      <xdr:row>32</xdr:row>
      <xdr:rowOff>111124</xdr:rowOff>
    </xdr:from>
    <xdr:to>
      <xdr:col>21</xdr:col>
      <xdr:colOff>752475</xdr:colOff>
      <xdr:row>33</xdr:row>
      <xdr:rowOff>152400</xdr:rowOff>
    </xdr:to>
    <xdr:cxnSp macro="">
      <xdr:nvCxnSpPr>
        <xdr:cNvPr id="6" name="Straight Arrow Connector 5">
          <a:extLst>
            <a:ext uri="{FF2B5EF4-FFF2-40B4-BE49-F238E27FC236}">
              <a16:creationId xmlns:a16="http://schemas.microsoft.com/office/drawing/2014/main" id="{48FD0351-89F8-4D56-8DC7-7D56C46433FA}"/>
            </a:ext>
          </a:extLst>
        </xdr:cNvPr>
        <xdr:cNvCxnSpPr>
          <a:stCxn id="9" idx="2"/>
        </xdr:cNvCxnSpPr>
      </xdr:nvCxnSpPr>
      <xdr:spPr>
        <a:xfrm>
          <a:off x="23893009" y="7245349"/>
          <a:ext cx="1919741" cy="22225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389255</xdr:colOff>
      <xdr:row>32</xdr:row>
      <xdr:rowOff>28485</xdr:rowOff>
    </xdr:from>
    <xdr:to>
      <xdr:col>16</xdr:col>
      <xdr:colOff>847725</xdr:colOff>
      <xdr:row>35</xdr:row>
      <xdr:rowOff>114300</xdr:rowOff>
    </xdr:to>
    <xdr:sp macro="" textlink="">
      <xdr:nvSpPr>
        <xdr:cNvPr id="7" name="TextBox 6">
          <a:extLst>
            <a:ext uri="{FF2B5EF4-FFF2-40B4-BE49-F238E27FC236}">
              <a16:creationId xmlns:a16="http://schemas.microsoft.com/office/drawing/2014/main" id="{0BB1CDA0-47F1-4230-916F-9CBC0D82C34F}"/>
            </a:ext>
          </a:extLst>
        </xdr:cNvPr>
        <xdr:cNvSpPr txBox="1"/>
      </xdr:nvSpPr>
      <xdr:spPr>
        <a:xfrm>
          <a:off x="16632555" y="5775235"/>
          <a:ext cx="2363470" cy="6382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18</xdr:col>
      <xdr:colOff>408213</xdr:colOff>
      <xdr:row>17</xdr:row>
      <xdr:rowOff>125641</xdr:rowOff>
    </xdr:from>
    <xdr:to>
      <xdr:col>21</xdr:col>
      <xdr:colOff>326571</xdr:colOff>
      <xdr:row>20</xdr:row>
      <xdr:rowOff>84819</xdr:rowOff>
    </xdr:to>
    <xdr:sp macro="" textlink="">
      <xdr:nvSpPr>
        <xdr:cNvPr id="8" name="TextBox 7">
          <a:extLst>
            <a:ext uri="{FF2B5EF4-FFF2-40B4-BE49-F238E27FC236}">
              <a16:creationId xmlns:a16="http://schemas.microsoft.com/office/drawing/2014/main" id="{8F52A83D-BFFC-443A-B832-278C36ADD274}"/>
            </a:ext>
          </a:extLst>
        </xdr:cNvPr>
        <xdr:cNvSpPr txBox="1"/>
      </xdr:nvSpPr>
      <xdr:spPr>
        <a:xfrm>
          <a:off x="20982213" y="4583341"/>
          <a:ext cx="4401458" cy="5116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951593</xdr:colOff>
      <xdr:row>29</xdr:row>
      <xdr:rowOff>66674</xdr:rowOff>
    </xdr:from>
    <xdr:to>
      <xdr:col>21</xdr:col>
      <xdr:colOff>1200150</xdr:colOff>
      <xdr:row>32</xdr:row>
      <xdr:rowOff>111124</xdr:rowOff>
    </xdr:to>
    <xdr:sp macro="" textlink="">
      <xdr:nvSpPr>
        <xdr:cNvPr id="9" name="TextBox 13">
          <a:extLst>
            <a:ext uri="{FF2B5EF4-FFF2-40B4-BE49-F238E27FC236}">
              <a16:creationId xmlns:a16="http://schemas.microsoft.com/office/drawing/2014/main" id="{69DDDB28-CA8D-4B57-9B91-99CFBE901122}"/>
            </a:ext>
          </a:extLst>
        </xdr:cNvPr>
        <xdr:cNvSpPr txBox="1"/>
      </xdr:nvSpPr>
      <xdr:spPr>
        <a:xfrm>
          <a:off x="21525593" y="6657974"/>
          <a:ext cx="4734832" cy="5873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17</xdr:col>
      <xdr:colOff>1211036</xdr:colOff>
      <xdr:row>19</xdr:row>
      <xdr:rowOff>27214</xdr:rowOff>
    </xdr:from>
    <xdr:to>
      <xdr:col>18</xdr:col>
      <xdr:colOff>417738</xdr:colOff>
      <xdr:row>19</xdr:row>
      <xdr:rowOff>105681</xdr:rowOff>
    </xdr:to>
    <xdr:cxnSp macro="">
      <xdr:nvCxnSpPr>
        <xdr:cNvPr id="10" name="Straight Arrow Connector 5">
          <a:extLst>
            <a:ext uri="{FF2B5EF4-FFF2-40B4-BE49-F238E27FC236}">
              <a16:creationId xmlns:a16="http://schemas.microsoft.com/office/drawing/2014/main" id="{B153938D-805C-452C-B806-078E55B7A3E4}"/>
            </a:ext>
          </a:extLst>
        </xdr:cNvPr>
        <xdr:cNvCxnSpPr/>
      </xdr:nvCxnSpPr>
      <xdr:spPr>
        <a:xfrm flipH="1">
          <a:off x="20559486" y="4853214"/>
          <a:ext cx="432252" cy="784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xdr:row>
      <xdr:rowOff>0</xdr:rowOff>
    </xdr:from>
    <xdr:to>
      <xdr:col>2</xdr:col>
      <xdr:colOff>2371567</xdr:colOff>
      <xdr:row>4</xdr:row>
      <xdr:rowOff>828130</xdr:rowOff>
    </xdr:to>
    <xdr:sp macro="" textlink="">
      <xdr:nvSpPr>
        <xdr:cNvPr id="11" name="TextBox 10">
          <a:extLst>
            <a:ext uri="{FF2B5EF4-FFF2-40B4-BE49-F238E27FC236}">
              <a16:creationId xmlns:a16="http://schemas.microsoft.com/office/drawing/2014/main" id="{3F92CD1D-D092-4ADF-BCD9-C3CF14E7F4C0}"/>
            </a:ext>
          </a:extLst>
        </xdr:cNvPr>
        <xdr:cNvSpPr txBox="1"/>
      </xdr:nvSpPr>
      <xdr:spPr>
        <a:xfrm>
          <a:off x="298450" y="1047750"/>
          <a:ext cx="3997167"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16</xdr:col>
      <xdr:colOff>501650</xdr:colOff>
      <xdr:row>2</xdr:row>
      <xdr:rowOff>171450</xdr:rowOff>
    </xdr:from>
    <xdr:to>
      <xdr:col>16</xdr:col>
      <xdr:colOff>512509</xdr:colOff>
      <xdr:row>4</xdr:row>
      <xdr:rowOff>323850</xdr:rowOff>
    </xdr:to>
    <xdr:cxnSp macro="">
      <xdr:nvCxnSpPr>
        <xdr:cNvPr id="12" name="Straight Arrow Connector 11">
          <a:extLst>
            <a:ext uri="{FF2B5EF4-FFF2-40B4-BE49-F238E27FC236}">
              <a16:creationId xmlns:a16="http://schemas.microsoft.com/office/drawing/2014/main" id="{C86650FE-58AA-4C39-86BD-DFE92598EB47}"/>
            </a:ext>
          </a:extLst>
        </xdr:cNvPr>
        <xdr:cNvCxnSpPr>
          <a:cxnSpLocks/>
        </xdr:cNvCxnSpPr>
      </xdr:nvCxnSpPr>
      <xdr:spPr>
        <a:xfrm>
          <a:off x="18649950" y="831850"/>
          <a:ext cx="10859" cy="5397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466725</xdr:colOff>
      <xdr:row>1</xdr:row>
      <xdr:rowOff>84457</xdr:rowOff>
    </xdr:from>
    <xdr:to>
      <xdr:col>14</xdr:col>
      <xdr:colOff>501650</xdr:colOff>
      <xdr:row>4</xdr:row>
      <xdr:rowOff>406400</xdr:rowOff>
    </xdr:to>
    <xdr:cxnSp macro="">
      <xdr:nvCxnSpPr>
        <xdr:cNvPr id="13" name="Straight Arrow Connector 20">
          <a:extLst>
            <a:ext uri="{FF2B5EF4-FFF2-40B4-BE49-F238E27FC236}">
              <a16:creationId xmlns:a16="http://schemas.microsoft.com/office/drawing/2014/main" id="{163FF56F-C09B-4BB3-9473-414F758DD2E9}"/>
            </a:ext>
          </a:extLst>
        </xdr:cNvPr>
        <xdr:cNvCxnSpPr>
          <a:cxnSpLocks/>
        </xdr:cNvCxnSpPr>
      </xdr:nvCxnSpPr>
      <xdr:spPr>
        <a:xfrm flipH="1">
          <a:off x="15713075" y="484507"/>
          <a:ext cx="1031875" cy="96964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454025</xdr:colOff>
      <xdr:row>0</xdr:row>
      <xdr:rowOff>161925</xdr:rowOff>
    </xdr:from>
    <xdr:to>
      <xdr:col>19</xdr:col>
      <xdr:colOff>581025</xdr:colOff>
      <xdr:row>2</xdr:row>
      <xdr:rowOff>168909</xdr:rowOff>
    </xdr:to>
    <xdr:sp macro="" textlink="">
      <xdr:nvSpPr>
        <xdr:cNvPr id="14" name="TextBox 13">
          <a:extLst>
            <a:ext uri="{FF2B5EF4-FFF2-40B4-BE49-F238E27FC236}">
              <a16:creationId xmlns:a16="http://schemas.microsoft.com/office/drawing/2014/main" id="{F5C5752E-7D18-4F72-8688-A37376D39E2D}"/>
            </a:ext>
          </a:extLst>
        </xdr:cNvPr>
        <xdr:cNvSpPr txBox="1"/>
      </xdr:nvSpPr>
      <xdr:spPr>
        <a:xfrm>
          <a:off x="16697325" y="161925"/>
          <a:ext cx="5905500" cy="6673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628650</xdr:colOff>
      <xdr:row>20</xdr:row>
      <xdr:rowOff>0</xdr:rowOff>
    </xdr:from>
    <xdr:to>
      <xdr:col>15</xdr:col>
      <xdr:colOff>266065</xdr:colOff>
      <xdr:row>24</xdr:row>
      <xdr:rowOff>28485</xdr:rowOff>
    </xdr:to>
    <xdr:cxnSp macro="">
      <xdr:nvCxnSpPr>
        <xdr:cNvPr id="2" name="Straight Arrow Connector 5">
          <a:extLst>
            <a:ext uri="{FF2B5EF4-FFF2-40B4-BE49-F238E27FC236}">
              <a16:creationId xmlns:a16="http://schemas.microsoft.com/office/drawing/2014/main" id="{90C351B9-AA1A-465A-9B06-522CCBF0A750}"/>
            </a:ext>
          </a:extLst>
        </xdr:cNvPr>
        <xdr:cNvCxnSpPr>
          <a:stCxn id="7" idx="0"/>
        </xdr:cNvCxnSpPr>
      </xdr:nvCxnSpPr>
      <xdr:spPr>
        <a:xfrm flipH="1" flipV="1">
          <a:off x="16868775" y="4962525"/>
          <a:ext cx="942340" cy="75556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xdr:colOff>
      <xdr:row>7</xdr:row>
      <xdr:rowOff>104775</xdr:rowOff>
    </xdr:from>
    <xdr:to>
      <xdr:col>14</xdr:col>
      <xdr:colOff>152400</xdr:colOff>
      <xdr:row>19</xdr:row>
      <xdr:rowOff>27214</xdr:rowOff>
    </xdr:to>
    <xdr:cxnSp macro="">
      <xdr:nvCxnSpPr>
        <xdr:cNvPr id="3" name="Straight Arrow Connector 2">
          <a:extLst>
            <a:ext uri="{FF2B5EF4-FFF2-40B4-BE49-F238E27FC236}">
              <a16:creationId xmlns:a16="http://schemas.microsoft.com/office/drawing/2014/main" id="{79FF1112-ABFF-49B9-AAE0-024C97C02397}"/>
            </a:ext>
          </a:extLst>
        </xdr:cNvPr>
        <xdr:cNvCxnSpPr/>
      </xdr:nvCxnSpPr>
      <xdr:spPr>
        <a:xfrm>
          <a:off x="16246475" y="2711450"/>
          <a:ext cx="146050" cy="210048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xdr:colOff>
      <xdr:row>19</xdr:row>
      <xdr:rowOff>95250</xdr:rowOff>
    </xdr:from>
    <xdr:to>
      <xdr:col>14</xdr:col>
      <xdr:colOff>142875</xdr:colOff>
      <xdr:row>19</xdr:row>
      <xdr:rowOff>95250</xdr:rowOff>
    </xdr:to>
    <xdr:cxnSp macro="">
      <xdr:nvCxnSpPr>
        <xdr:cNvPr id="4" name="Straight Arrow Connector 3">
          <a:extLst>
            <a:ext uri="{FF2B5EF4-FFF2-40B4-BE49-F238E27FC236}">
              <a16:creationId xmlns:a16="http://schemas.microsoft.com/office/drawing/2014/main" id="{48792D3B-73F3-4360-AF47-A86D98E62B07}"/>
            </a:ext>
          </a:extLst>
        </xdr:cNvPr>
        <xdr:cNvCxnSpPr/>
      </xdr:nvCxnSpPr>
      <xdr:spPr>
        <a:xfrm>
          <a:off x="16259175" y="4876800"/>
          <a:ext cx="12065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979716</xdr:colOff>
      <xdr:row>24</xdr:row>
      <xdr:rowOff>125639</xdr:rowOff>
    </xdr:from>
    <xdr:to>
      <xdr:col>19</xdr:col>
      <xdr:colOff>506640</xdr:colOff>
      <xdr:row>25</xdr:row>
      <xdr:rowOff>160111</xdr:rowOff>
    </xdr:to>
    <xdr:cxnSp macro="">
      <xdr:nvCxnSpPr>
        <xdr:cNvPr id="5" name="Straight Arrow Connector 5">
          <a:extLst>
            <a:ext uri="{FF2B5EF4-FFF2-40B4-BE49-F238E27FC236}">
              <a16:creationId xmlns:a16="http://schemas.microsoft.com/office/drawing/2014/main" id="{D6D902F8-FE4C-4956-82DE-857E0C208CF2}"/>
            </a:ext>
          </a:extLst>
        </xdr:cNvPr>
        <xdr:cNvCxnSpPr/>
      </xdr:nvCxnSpPr>
      <xdr:spPr>
        <a:xfrm flipH="1">
          <a:off x="21556891" y="5808889"/>
          <a:ext cx="968374" cy="221797"/>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185284</xdr:colOff>
      <xdr:row>24</xdr:row>
      <xdr:rowOff>111125</xdr:rowOff>
    </xdr:from>
    <xdr:to>
      <xdr:col>21</xdr:col>
      <xdr:colOff>752475</xdr:colOff>
      <xdr:row>25</xdr:row>
      <xdr:rowOff>152400</xdr:rowOff>
    </xdr:to>
    <xdr:cxnSp macro="">
      <xdr:nvCxnSpPr>
        <xdr:cNvPr id="6" name="Straight Arrow Connector 5">
          <a:extLst>
            <a:ext uri="{FF2B5EF4-FFF2-40B4-BE49-F238E27FC236}">
              <a16:creationId xmlns:a16="http://schemas.microsoft.com/office/drawing/2014/main" id="{4CA5F483-2413-4FB2-B3A9-4F22F64931FB}"/>
            </a:ext>
          </a:extLst>
        </xdr:cNvPr>
        <xdr:cNvCxnSpPr>
          <a:stCxn id="9" idx="2"/>
        </xdr:cNvCxnSpPr>
      </xdr:nvCxnSpPr>
      <xdr:spPr>
        <a:xfrm>
          <a:off x="23651709" y="5797550"/>
          <a:ext cx="2157866" cy="2222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389255</xdr:colOff>
      <xdr:row>24</xdr:row>
      <xdr:rowOff>28485</xdr:rowOff>
    </xdr:from>
    <xdr:to>
      <xdr:col>16</xdr:col>
      <xdr:colOff>847725</xdr:colOff>
      <xdr:row>27</xdr:row>
      <xdr:rowOff>114300</xdr:rowOff>
    </xdr:to>
    <xdr:sp macro="" textlink="">
      <xdr:nvSpPr>
        <xdr:cNvPr id="7" name="TextBox 6">
          <a:extLst>
            <a:ext uri="{FF2B5EF4-FFF2-40B4-BE49-F238E27FC236}">
              <a16:creationId xmlns:a16="http://schemas.microsoft.com/office/drawing/2014/main" id="{AEA85138-CD9E-486E-8A88-722DD32B6BFC}"/>
            </a:ext>
          </a:extLst>
        </xdr:cNvPr>
        <xdr:cNvSpPr txBox="1"/>
      </xdr:nvSpPr>
      <xdr:spPr>
        <a:xfrm>
          <a:off x="16632555" y="5718085"/>
          <a:ext cx="2357120" cy="6255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18</xdr:col>
      <xdr:colOff>408213</xdr:colOff>
      <xdr:row>17</xdr:row>
      <xdr:rowOff>125641</xdr:rowOff>
    </xdr:from>
    <xdr:to>
      <xdr:col>21</xdr:col>
      <xdr:colOff>326571</xdr:colOff>
      <xdr:row>20</xdr:row>
      <xdr:rowOff>84819</xdr:rowOff>
    </xdr:to>
    <xdr:sp macro="" textlink="">
      <xdr:nvSpPr>
        <xdr:cNvPr id="8" name="TextBox 7">
          <a:extLst>
            <a:ext uri="{FF2B5EF4-FFF2-40B4-BE49-F238E27FC236}">
              <a16:creationId xmlns:a16="http://schemas.microsoft.com/office/drawing/2014/main" id="{25A36762-DC45-4D8D-8259-336974D5EF41}"/>
            </a:ext>
          </a:extLst>
        </xdr:cNvPr>
        <xdr:cNvSpPr txBox="1"/>
      </xdr:nvSpPr>
      <xdr:spPr>
        <a:xfrm>
          <a:off x="20985388" y="4542066"/>
          <a:ext cx="4401458" cy="50845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951593</xdr:colOff>
      <xdr:row>20</xdr:row>
      <xdr:rowOff>172357</xdr:rowOff>
    </xdr:from>
    <xdr:to>
      <xdr:col>21</xdr:col>
      <xdr:colOff>1200150</xdr:colOff>
      <xdr:row>24</xdr:row>
      <xdr:rowOff>111125</xdr:rowOff>
    </xdr:to>
    <xdr:sp macro="" textlink="">
      <xdr:nvSpPr>
        <xdr:cNvPr id="9" name="TextBox 13">
          <a:extLst>
            <a:ext uri="{FF2B5EF4-FFF2-40B4-BE49-F238E27FC236}">
              <a16:creationId xmlns:a16="http://schemas.microsoft.com/office/drawing/2014/main" id="{5ABACE69-C209-4998-B945-A6708F450FA9}"/>
            </a:ext>
          </a:extLst>
        </xdr:cNvPr>
        <xdr:cNvSpPr txBox="1"/>
      </xdr:nvSpPr>
      <xdr:spPr>
        <a:xfrm>
          <a:off x="21525593" y="5134882"/>
          <a:ext cx="4734832" cy="66266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17</xdr:col>
      <xdr:colOff>1211036</xdr:colOff>
      <xdr:row>19</xdr:row>
      <xdr:rowOff>27214</xdr:rowOff>
    </xdr:from>
    <xdr:to>
      <xdr:col>18</xdr:col>
      <xdr:colOff>417738</xdr:colOff>
      <xdr:row>19</xdr:row>
      <xdr:rowOff>105681</xdr:rowOff>
    </xdr:to>
    <xdr:cxnSp macro="">
      <xdr:nvCxnSpPr>
        <xdr:cNvPr id="10" name="Straight Arrow Connector 5">
          <a:extLst>
            <a:ext uri="{FF2B5EF4-FFF2-40B4-BE49-F238E27FC236}">
              <a16:creationId xmlns:a16="http://schemas.microsoft.com/office/drawing/2014/main" id="{A4FDEB62-4345-4A4D-AE4C-A20C5EA01725}"/>
            </a:ext>
          </a:extLst>
        </xdr:cNvPr>
        <xdr:cNvCxnSpPr/>
      </xdr:nvCxnSpPr>
      <xdr:spPr>
        <a:xfrm flipH="1">
          <a:off x="20553136" y="4811939"/>
          <a:ext cx="438602" cy="7211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xdr:row>
      <xdr:rowOff>0</xdr:rowOff>
    </xdr:from>
    <xdr:to>
      <xdr:col>2</xdr:col>
      <xdr:colOff>2371567</xdr:colOff>
      <xdr:row>4</xdr:row>
      <xdr:rowOff>828130</xdr:rowOff>
    </xdr:to>
    <xdr:sp macro="" textlink="">
      <xdr:nvSpPr>
        <xdr:cNvPr id="11" name="TextBox 10">
          <a:extLst>
            <a:ext uri="{FF2B5EF4-FFF2-40B4-BE49-F238E27FC236}">
              <a16:creationId xmlns:a16="http://schemas.microsoft.com/office/drawing/2014/main" id="{4F34C55C-CBB6-490C-88A9-1C180732D74C}"/>
            </a:ext>
          </a:extLst>
        </xdr:cNvPr>
        <xdr:cNvSpPr txBox="1"/>
      </xdr:nvSpPr>
      <xdr:spPr>
        <a:xfrm>
          <a:off x="295275" y="1047750"/>
          <a:ext cx="4003517" cy="83130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16</xdr:col>
      <xdr:colOff>501650</xdr:colOff>
      <xdr:row>2</xdr:row>
      <xdr:rowOff>171450</xdr:rowOff>
    </xdr:from>
    <xdr:to>
      <xdr:col>16</xdr:col>
      <xdr:colOff>512509</xdr:colOff>
      <xdr:row>4</xdr:row>
      <xdr:rowOff>323850</xdr:rowOff>
    </xdr:to>
    <xdr:cxnSp macro="">
      <xdr:nvCxnSpPr>
        <xdr:cNvPr id="12" name="Straight Arrow Connector 11">
          <a:extLst>
            <a:ext uri="{FF2B5EF4-FFF2-40B4-BE49-F238E27FC236}">
              <a16:creationId xmlns:a16="http://schemas.microsoft.com/office/drawing/2014/main" id="{079ADAE2-6A9A-491D-A64D-5F5D1FA36FBD}"/>
            </a:ext>
          </a:extLst>
        </xdr:cNvPr>
        <xdr:cNvCxnSpPr>
          <a:cxnSpLocks/>
        </xdr:cNvCxnSpPr>
      </xdr:nvCxnSpPr>
      <xdr:spPr>
        <a:xfrm>
          <a:off x="18649950" y="828675"/>
          <a:ext cx="7684" cy="5429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466725</xdr:colOff>
      <xdr:row>1</xdr:row>
      <xdr:rowOff>84457</xdr:rowOff>
    </xdr:from>
    <xdr:to>
      <xdr:col>14</xdr:col>
      <xdr:colOff>501650</xdr:colOff>
      <xdr:row>4</xdr:row>
      <xdr:rowOff>406400</xdr:rowOff>
    </xdr:to>
    <xdr:cxnSp macro="">
      <xdr:nvCxnSpPr>
        <xdr:cNvPr id="13" name="Straight Arrow Connector 20">
          <a:extLst>
            <a:ext uri="{FF2B5EF4-FFF2-40B4-BE49-F238E27FC236}">
              <a16:creationId xmlns:a16="http://schemas.microsoft.com/office/drawing/2014/main" id="{980EA29D-307D-487E-95CC-DC180032FF78}"/>
            </a:ext>
          </a:extLst>
        </xdr:cNvPr>
        <xdr:cNvCxnSpPr>
          <a:cxnSpLocks/>
        </xdr:cNvCxnSpPr>
      </xdr:nvCxnSpPr>
      <xdr:spPr>
        <a:xfrm flipH="1">
          <a:off x="15703550" y="487682"/>
          <a:ext cx="1041400" cy="96964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454025</xdr:colOff>
      <xdr:row>0</xdr:row>
      <xdr:rowOff>161925</xdr:rowOff>
    </xdr:from>
    <xdr:to>
      <xdr:col>19</xdr:col>
      <xdr:colOff>581025</xdr:colOff>
      <xdr:row>2</xdr:row>
      <xdr:rowOff>168909</xdr:rowOff>
    </xdr:to>
    <xdr:sp macro="" textlink="">
      <xdr:nvSpPr>
        <xdr:cNvPr id="14" name="TextBox 13">
          <a:extLst>
            <a:ext uri="{FF2B5EF4-FFF2-40B4-BE49-F238E27FC236}">
              <a16:creationId xmlns:a16="http://schemas.microsoft.com/office/drawing/2014/main" id="{4965AC85-45D8-49C4-B307-F15EB640B4A8}"/>
            </a:ext>
          </a:extLst>
        </xdr:cNvPr>
        <xdr:cNvSpPr txBox="1"/>
      </xdr:nvSpPr>
      <xdr:spPr>
        <a:xfrm>
          <a:off x="16694150" y="158750"/>
          <a:ext cx="5905500" cy="6673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1079499</xdr:colOff>
      <xdr:row>13</xdr:row>
      <xdr:rowOff>127000</xdr:rowOff>
    </xdr:from>
    <xdr:to>
      <xdr:col>26</xdr:col>
      <xdr:colOff>140771</xdr:colOff>
      <xdr:row>19</xdr:row>
      <xdr:rowOff>120800</xdr:rowOff>
    </xdr:to>
    <xdr:pic>
      <xdr:nvPicPr>
        <xdr:cNvPr id="4" name="Picture 3">
          <a:extLst>
            <a:ext uri="{FF2B5EF4-FFF2-40B4-BE49-F238E27FC236}">
              <a16:creationId xmlns:a16="http://schemas.microsoft.com/office/drawing/2014/main" id="{F8443970-8181-BC6A-4286-169F486BA6C9}"/>
            </a:ext>
          </a:extLst>
        </xdr:cNvPr>
        <xdr:cNvPicPr>
          <a:picLocks noChangeAspect="1"/>
        </xdr:cNvPicPr>
      </xdr:nvPicPr>
      <xdr:blipFill>
        <a:blip xmlns:r="http://schemas.openxmlformats.org/officeDocument/2006/relationships" r:embed="rId1"/>
        <a:stretch>
          <a:fillRect/>
        </a:stretch>
      </xdr:blipFill>
      <xdr:spPr>
        <a:xfrm>
          <a:off x="1672166" y="2518833"/>
          <a:ext cx="15261180" cy="1076475"/>
        </a:xfrm>
        <a:prstGeom prst="rect">
          <a:avLst/>
        </a:prstGeom>
      </xdr:spPr>
    </xdr:pic>
    <xdr:clientData/>
  </xdr:twoCellAnchor>
  <xdr:twoCellAnchor editAs="oneCell">
    <xdr:from>
      <xdr:col>1</xdr:col>
      <xdr:colOff>1019175</xdr:colOff>
      <xdr:row>24</xdr:row>
      <xdr:rowOff>104775</xdr:rowOff>
    </xdr:from>
    <xdr:to>
      <xdr:col>26</xdr:col>
      <xdr:colOff>154787</xdr:colOff>
      <xdr:row>38</xdr:row>
      <xdr:rowOff>1950</xdr:rowOff>
    </xdr:to>
    <xdr:pic>
      <xdr:nvPicPr>
        <xdr:cNvPr id="5" name="Picture 4">
          <a:extLst>
            <a:ext uri="{FF2B5EF4-FFF2-40B4-BE49-F238E27FC236}">
              <a16:creationId xmlns:a16="http://schemas.microsoft.com/office/drawing/2014/main" id="{BB96D105-18EC-985D-4682-0C46815CE552}"/>
            </a:ext>
          </a:extLst>
        </xdr:cNvPr>
        <xdr:cNvPicPr>
          <a:picLocks noChangeAspect="1"/>
        </xdr:cNvPicPr>
      </xdr:nvPicPr>
      <xdr:blipFill>
        <a:blip xmlns:r="http://schemas.openxmlformats.org/officeDocument/2006/relationships" r:embed="rId2"/>
        <a:stretch>
          <a:fillRect/>
        </a:stretch>
      </xdr:blipFill>
      <xdr:spPr>
        <a:xfrm>
          <a:off x="1619250" y="4714875"/>
          <a:ext cx="15442412" cy="3002325"/>
        </a:xfrm>
        <a:prstGeom prst="rect">
          <a:avLst/>
        </a:prstGeom>
      </xdr:spPr>
    </xdr:pic>
    <xdr:clientData/>
  </xdr:twoCellAnchor>
  <xdr:twoCellAnchor editAs="oneCell">
    <xdr:from>
      <xdr:col>0</xdr:col>
      <xdr:colOff>523875</xdr:colOff>
      <xdr:row>81</xdr:row>
      <xdr:rowOff>38099</xdr:rowOff>
    </xdr:from>
    <xdr:to>
      <xdr:col>26</xdr:col>
      <xdr:colOff>171450</xdr:colOff>
      <xdr:row>109</xdr:row>
      <xdr:rowOff>103140</xdr:rowOff>
    </xdr:to>
    <xdr:pic>
      <xdr:nvPicPr>
        <xdr:cNvPr id="13" name="Picture 12">
          <a:extLst>
            <a:ext uri="{FF2B5EF4-FFF2-40B4-BE49-F238E27FC236}">
              <a16:creationId xmlns:a16="http://schemas.microsoft.com/office/drawing/2014/main" id="{0BE35B8E-9369-4CE1-F2C8-F3BDEAD19055}"/>
            </a:ext>
          </a:extLst>
        </xdr:cNvPr>
        <xdr:cNvPicPr>
          <a:picLocks noChangeAspect="1"/>
        </xdr:cNvPicPr>
      </xdr:nvPicPr>
      <xdr:blipFill>
        <a:blip xmlns:r="http://schemas.openxmlformats.org/officeDocument/2006/relationships" r:embed="rId3"/>
        <a:stretch>
          <a:fillRect/>
        </a:stretch>
      </xdr:blipFill>
      <xdr:spPr>
        <a:xfrm>
          <a:off x="523875" y="15754349"/>
          <a:ext cx="16554450" cy="5138691"/>
        </a:xfrm>
        <a:prstGeom prst="rect">
          <a:avLst/>
        </a:prstGeom>
      </xdr:spPr>
    </xdr:pic>
    <xdr:clientData/>
  </xdr:twoCellAnchor>
  <xdr:twoCellAnchor editAs="oneCell">
    <xdr:from>
      <xdr:col>0</xdr:col>
      <xdr:colOff>515937</xdr:colOff>
      <xdr:row>111</xdr:row>
      <xdr:rowOff>102395</xdr:rowOff>
    </xdr:from>
    <xdr:to>
      <xdr:col>26</xdr:col>
      <xdr:colOff>284162</xdr:colOff>
      <xdr:row>131</xdr:row>
      <xdr:rowOff>6351</xdr:rowOff>
    </xdr:to>
    <xdr:pic>
      <xdr:nvPicPr>
        <xdr:cNvPr id="15" name="Picture 14">
          <a:extLst>
            <a:ext uri="{FF2B5EF4-FFF2-40B4-BE49-F238E27FC236}">
              <a16:creationId xmlns:a16="http://schemas.microsoft.com/office/drawing/2014/main" id="{B9B5B207-644B-C654-CD5C-207F80B12E71}"/>
            </a:ext>
          </a:extLst>
        </xdr:cNvPr>
        <xdr:cNvPicPr>
          <a:picLocks noChangeAspect="1"/>
        </xdr:cNvPicPr>
      </xdr:nvPicPr>
      <xdr:blipFill rotWithShape="1">
        <a:blip xmlns:r="http://schemas.openxmlformats.org/officeDocument/2006/relationships" r:embed="rId4"/>
        <a:srcRect l="3280" t="11949" r="6681" b="63355"/>
        <a:stretch/>
      </xdr:blipFill>
      <xdr:spPr>
        <a:xfrm>
          <a:off x="515937" y="21017708"/>
          <a:ext cx="16516350" cy="5083174"/>
        </a:xfrm>
        <a:prstGeom prst="rect">
          <a:avLst/>
        </a:prstGeom>
      </xdr:spPr>
    </xdr:pic>
    <xdr:clientData/>
  </xdr:twoCellAnchor>
  <xdr:twoCellAnchor editAs="oneCell">
    <xdr:from>
      <xdr:col>1</xdr:col>
      <xdr:colOff>955675</xdr:colOff>
      <xdr:row>171</xdr:row>
      <xdr:rowOff>14380</xdr:rowOff>
    </xdr:from>
    <xdr:to>
      <xdr:col>26</xdr:col>
      <xdr:colOff>92823</xdr:colOff>
      <xdr:row>185</xdr:row>
      <xdr:rowOff>145677</xdr:rowOff>
    </xdr:to>
    <xdr:pic>
      <xdr:nvPicPr>
        <xdr:cNvPr id="17" name="Picture 16">
          <a:extLst>
            <a:ext uri="{FF2B5EF4-FFF2-40B4-BE49-F238E27FC236}">
              <a16:creationId xmlns:a16="http://schemas.microsoft.com/office/drawing/2014/main" id="{E225790F-5275-050A-3BEB-047C82424B0C}"/>
            </a:ext>
          </a:extLst>
        </xdr:cNvPr>
        <xdr:cNvPicPr>
          <a:picLocks noChangeAspect="1"/>
        </xdr:cNvPicPr>
      </xdr:nvPicPr>
      <xdr:blipFill rotWithShape="1">
        <a:blip xmlns:r="http://schemas.openxmlformats.org/officeDocument/2006/relationships" r:embed="rId5"/>
        <a:srcRect l="9122" t="21387" r="7046" b="65233"/>
        <a:stretch/>
      </xdr:blipFill>
      <xdr:spPr>
        <a:xfrm>
          <a:off x="1560793" y="32096821"/>
          <a:ext cx="15441706" cy="2641415"/>
        </a:xfrm>
        <a:prstGeom prst="rect">
          <a:avLst/>
        </a:prstGeom>
      </xdr:spPr>
    </xdr:pic>
    <xdr:clientData/>
  </xdr:twoCellAnchor>
  <xdr:twoCellAnchor editAs="oneCell">
    <xdr:from>
      <xdr:col>1</xdr:col>
      <xdr:colOff>1079499</xdr:colOff>
      <xdr:row>44</xdr:row>
      <xdr:rowOff>42332</xdr:rowOff>
    </xdr:from>
    <xdr:to>
      <xdr:col>26</xdr:col>
      <xdr:colOff>201517</xdr:colOff>
      <xdr:row>79</xdr:row>
      <xdr:rowOff>121088</xdr:rowOff>
    </xdr:to>
    <xdr:pic>
      <xdr:nvPicPr>
        <xdr:cNvPr id="2" name="Picture 1">
          <a:extLst>
            <a:ext uri="{FF2B5EF4-FFF2-40B4-BE49-F238E27FC236}">
              <a16:creationId xmlns:a16="http://schemas.microsoft.com/office/drawing/2014/main" id="{E0E68881-3B88-42AA-8CBC-6821A127769F}"/>
            </a:ext>
          </a:extLst>
        </xdr:cNvPr>
        <xdr:cNvPicPr>
          <a:picLocks noChangeAspect="1"/>
        </xdr:cNvPicPr>
      </xdr:nvPicPr>
      <xdr:blipFill>
        <a:blip xmlns:r="http://schemas.openxmlformats.org/officeDocument/2006/relationships" r:embed="rId6"/>
        <a:stretch>
          <a:fillRect/>
        </a:stretch>
      </xdr:blipFill>
      <xdr:spPr>
        <a:xfrm>
          <a:off x="1672166" y="9027582"/>
          <a:ext cx="15297584" cy="6375839"/>
        </a:xfrm>
        <a:prstGeom prst="rect">
          <a:avLst/>
        </a:prstGeom>
      </xdr:spPr>
    </xdr:pic>
    <xdr:clientData/>
  </xdr:twoCellAnchor>
  <xdr:twoCellAnchor editAs="oneCell">
    <xdr:from>
      <xdr:col>0</xdr:col>
      <xdr:colOff>545447</xdr:colOff>
      <xdr:row>133</xdr:row>
      <xdr:rowOff>106444</xdr:rowOff>
    </xdr:from>
    <xdr:to>
      <xdr:col>26</xdr:col>
      <xdr:colOff>419100</xdr:colOff>
      <xdr:row>166</xdr:row>
      <xdr:rowOff>153907</xdr:rowOff>
    </xdr:to>
    <xdr:pic>
      <xdr:nvPicPr>
        <xdr:cNvPr id="6" name="Picture 5">
          <a:extLst>
            <a:ext uri="{FF2B5EF4-FFF2-40B4-BE49-F238E27FC236}">
              <a16:creationId xmlns:a16="http://schemas.microsoft.com/office/drawing/2014/main" id="{E0913582-1EAA-403C-3EEC-C5B7C3224C29}"/>
            </a:ext>
          </a:extLst>
        </xdr:cNvPr>
        <xdr:cNvPicPr>
          <a:picLocks noChangeAspect="1"/>
        </xdr:cNvPicPr>
      </xdr:nvPicPr>
      <xdr:blipFill rotWithShape="1">
        <a:blip xmlns:r="http://schemas.openxmlformats.org/officeDocument/2006/relationships" r:embed="rId7"/>
        <a:srcRect l="2771" t="68265" r="13220" b="5959"/>
        <a:stretch/>
      </xdr:blipFill>
      <xdr:spPr>
        <a:xfrm>
          <a:off x="545447" y="26395444"/>
          <a:ext cx="16828153" cy="581008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0</xdr:colOff>
      <xdr:row>19</xdr:row>
      <xdr:rowOff>16783</xdr:rowOff>
    </xdr:from>
    <xdr:to>
      <xdr:col>18</xdr:col>
      <xdr:colOff>408213</xdr:colOff>
      <xdr:row>19</xdr:row>
      <xdr:rowOff>95250</xdr:rowOff>
    </xdr:to>
    <xdr:cxnSp macro="">
      <xdr:nvCxnSpPr>
        <xdr:cNvPr id="2" name="Straight Arrow Connector 5">
          <a:extLst>
            <a:ext uri="{FF2B5EF4-FFF2-40B4-BE49-F238E27FC236}">
              <a16:creationId xmlns:a16="http://schemas.microsoft.com/office/drawing/2014/main" id="{3B3B0FD6-FDB0-440B-8967-B1F49D47F503}"/>
            </a:ext>
          </a:extLst>
        </xdr:cNvPr>
        <xdr:cNvCxnSpPr>
          <a:stCxn id="5" idx="1"/>
        </xdr:cNvCxnSpPr>
      </xdr:nvCxnSpPr>
      <xdr:spPr>
        <a:xfrm flipH="1">
          <a:off x="20774025" y="4798333"/>
          <a:ext cx="411388" cy="784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982891</xdr:colOff>
      <xdr:row>24</xdr:row>
      <xdr:rowOff>122464</xdr:rowOff>
    </xdr:from>
    <xdr:to>
      <xdr:col>19</xdr:col>
      <xdr:colOff>503465</xdr:colOff>
      <xdr:row>25</xdr:row>
      <xdr:rowOff>163286</xdr:rowOff>
    </xdr:to>
    <xdr:cxnSp macro="">
      <xdr:nvCxnSpPr>
        <xdr:cNvPr id="3" name="Straight Arrow Connector 5">
          <a:extLst>
            <a:ext uri="{FF2B5EF4-FFF2-40B4-BE49-F238E27FC236}">
              <a16:creationId xmlns:a16="http://schemas.microsoft.com/office/drawing/2014/main" id="{0C00F997-8A27-487B-9BCE-A7C936E2BFCC}"/>
            </a:ext>
          </a:extLst>
        </xdr:cNvPr>
        <xdr:cNvCxnSpPr/>
      </xdr:nvCxnSpPr>
      <xdr:spPr>
        <a:xfrm flipH="1">
          <a:off x="21753741" y="5812064"/>
          <a:ext cx="974724" cy="215447"/>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1283843</xdr:colOff>
      <xdr:row>24</xdr:row>
      <xdr:rowOff>106700</xdr:rowOff>
    </xdr:from>
    <xdr:to>
      <xdr:col>21</xdr:col>
      <xdr:colOff>731611</xdr:colOff>
      <xdr:row>25</xdr:row>
      <xdr:rowOff>125639</xdr:rowOff>
    </xdr:to>
    <xdr:cxnSp macro="">
      <xdr:nvCxnSpPr>
        <xdr:cNvPr id="4" name="Straight Arrow Connector 5">
          <a:extLst>
            <a:ext uri="{FF2B5EF4-FFF2-40B4-BE49-F238E27FC236}">
              <a16:creationId xmlns:a16="http://schemas.microsoft.com/office/drawing/2014/main" id="{26213AD6-68C7-4609-9A3A-E7222BEE2BB3}"/>
            </a:ext>
          </a:extLst>
        </xdr:cNvPr>
        <xdr:cNvCxnSpPr>
          <a:cxnSpLocks/>
          <a:stCxn id="6" idx="2"/>
        </xdr:cNvCxnSpPr>
      </xdr:nvCxnSpPr>
      <xdr:spPr>
        <a:xfrm>
          <a:off x="23508843" y="5789950"/>
          <a:ext cx="2486243" cy="19991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411388</xdr:colOff>
      <xdr:row>17</xdr:row>
      <xdr:rowOff>122466</xdr:rowOff>
    </xdr:from>
    <xdr:to>
      <xdr:col>21</xdr:col>
      <xdr:colOff>326571</xdr:colOff>
      <xdr:row>20</xdr:row>
      <xdr:rowOff>81643</xdr:rowOff>
    </xdr:to>
    <xdr:sp macro="" textlink="">
      <xdr:nvSpPr>
        <xdr:cNvPr id="5" name="TextBox 11">
          <a:extLst>
            <a:ext uri="{FF2B5EF4-FFF2-40B4-BE49-F238E27FC236}">
              <a16:creationId xmlns:a16="http://schemas.microsoft.com/office/drawing/2014/main" id="{D5D3221C-943F-4AFF-B023-6E8FFC71DE25}"/>
            </a:ext>
          </a:extLst>
        </xdr:cNvPr>
        <xdr:cNvSpPr txBox="1"/>
      </xdr:nvSpPr>
      <xdr:spPr>
        <a:xfrm>
          <a:off x="21182238" y="4545241"/>
          <a:ext cx="4404633" cy="5021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680358</xdr:colOff>
      <xdr:row>21</xdr:row>
      <xdr:rowOff>0</xdr:rowOff>
    </xdr:from>
    <xdr:to>
      <xdr:col>21</xdr:col>
      <xdr:colOff>761110</xdr:colOff>
      <xdr:row>24</xdr:row>
      <xdr:rowOff>103525</xdr:rowOff>
    </xdr:to>
    <xdr:sp macro="" textlink="">
      <xdr:nvSpPr>
        <xdr:cNvPr id="6" name="TextBox 27">
          <a:extLst>
            <a:ext uri="{FF2B5EF4-FFF2-40B4-BE49-F238E27FC236}">
              <a16:creationId xmlns:a16="http://schemas.microsoft.com/office/drawing/2014/main" id="{4049DEE9-1ED4-482E-BE4B-203459140F78}"/>
            </a:ext>
          </a:extLst>
        </xdr:cNvPr>
        <xdr:cNvSpPr txBox="1"/>
      </xdr:nvSpPr>
      <xdr:spPr>
        <a:xfrm>
          <a:off x="21451208" y="5143500"/>
          <a:ext cx="4570202" cy="6496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e/kg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7" name="TextBox 17">
          <a:extLst>
            <a:ext uri="{FF2B5EF4-FFF2-40B4-BE49-F238E27FC236}">
              <a16:creationId xmlns:a16="http://schemas.microsoft.com/office/drawing/2014/main" id="{0F6D8D36-89B4-4913-A5BA-67FAB53E4917}"/>
            </a:ext>
          </a:extLst>
        </xdr:cNvPr>
        <xdr:cNvSpPr txBox="1"/>
      </xdr:nvSpPr>
      <xdr:spPr>
        <a:xfrm>
          <a:off x="295275" y="1047750"/>
          <a:ext cx="4003517" cy="83130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981075</xdr:colOff>
      <xdr:row>20</xdr:row>
      <xdr:rowOff>19050</xdr:rowOff>
    </xdr:from>
    <xdr:to>
      <xdr:col>15</xdr:col>
      <xdr:colOff>284616</xdr:colOff>
      <xdr:row>23</xdr:row>
      <xdr:rowOff>908</xdr:rowOff>
    </xdr:to>
    <xdr:cxnSp macro="">
      <xdr:nvCxnSpPr>
        <xdr:cNvPr id="8" name="Straight Arrow Connector 5">
          <a:extLst>
            <a:ext uri="{FF2B5EF4-FFF2-40B4-BE49-F238E27FC236}">
              <a16:creationId xmlns:a16="http://schemas.microsoft.com/office/drawing/2014/main" id="{FCCB4041-88A3-4CF2-AB78-0440CA97D517}"/>
            </a:ext>
          </a:extLst>
        </xdr:cNvPr>
        <xdr:cNvCxnSpPr>
          <a:stCxn id="12" idx="0"/>
        </xdr:cNvCxnSpPr>
      </xdr:nvCxnSpPr>
      <xdr:spPr>
        <a:xfrm flipH="1" flipV="1">
          <a:off x="17218025" y="4981575"/>
          <a:ext cx="735466" cy="5247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xdr:row>
      <xdr:rowOff>82550</xdr:rowOff>
    </xdr:from>
    <xdr:to>
      <xdr:col>14</xdr:col>
      <xdr:colOff>247650</xdr:colOff>
      <xdr:row>19</xdr:row>
      <xdr:rowOff>19050</xdr:rowOff>
    </xdr:to>
    <xdr:cxnSp macro="">
      <xdr:nvCxnSpPr>
        <xdr:cNvPr id="9" name="Straight Arrow Connector 8">
          <a:extLst>
            <a:ext uri="{FF2B5EF4-FFF2-40B4-BE49-F238E27FC236}">
              <a16:creationId xmlns:a16="http://schemas.microsoft.com/office/drawing/2014/main" id="{EBD3AB89-FEDA-461D-AAB6-DAE570EBF253}"/>
            </a:ext>
          </a:extLst>
        </xdr:cNvPr>
        <xdr:cNvCxnSpPr/>
      </xdr:nvCxnSpPr>
      <xdr:spPr>
        <a:xfrm>
          <a:off x="16265525" y="2695575"/>
          <a:ext cx="222250" cy="210502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15875</xdr:colOff>
      <xdr:row>19</xdr:row>
      <xdr:rowOff>85725</xdr:rowOff>
    </xdr:from>
    <xdr:to>
      <xdr:col>14</xdr:col>
      <xdr:colOff>152400</xdr:colOff>
      <xdr:row>19</xdr:row>
      <xdr:rowOff>88155</xdr:rowOff>
    </xdr:to>
    <xdr:cxnSp macro="">
      <xdr:nvCxnSpPr>
        <xdr:cNvPr id="10" name="Straight Arrow Connector 9">
          <a:extLst>
            <a:ext uri="{FF2B5EF4-FFF2-40B4-BE49-F238E27FC236}">
              <a16:creationId xmlns:a16="http://schemas.microsoft.com/office/drawing/2014/main" id="{D7A30B75-F878-4194-B3E4-76554C1199B4}"/>
            </a:ext>
          </a:extLst>
        </xdr:cNvPr>
        <xdr:cNvCxnSpPr/>
      </xdr:nvCxnSpPr>
      <xdr:spPr>
        <a:xfrm flipV="1">
          <a:off x="16256000" y="4864100"/>
          <a:ext cx="136525" cy="243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438150</xdr:colOff>
      <xdr:row>1</xdr:row>
      <xdr:rowOff>43182</xdr:rowOff>
    </xdr:from>
    <xdr:to>
      <xdr:col>14</xdr:col>
      <xdr:colOff>476250</xdr:colOff>
      <xdr:row>4</xdr:row>
      <xdr:rowOff>361950</xdr:rowOff>
    </xdr:to>
    <xdr:cxnSp macro="">
      <xdr:nvCxnSpPr>
        <xdr:cNvPr id="11" name="Straight Arrow Connector 20">
          <a:extLst>
            <a:ext uri="{FF2B5EF4-FFF2-40B4-BE49-F238E27FC236}">
              <a16:creationId xmlns:a16="http://schemas.microsoft.com/office/drawing/2014/main" id="{3BEFA1EF-C036-4EE4-9A89-742E315B7A08}"/>
            </a:ext>
          </a:extLst>
        </xdr:cNvPr>
        <xdr:cNvCxnSpPr>
          <a:cxnSpLocks/>
        </xdr:cNvCxnSpPr>
      </xdr:nvCxnSpPr>
      <xdr:spPr>
        <a:xfrm flipH="1">
          <a:off x="15678150" y="446407"/>
          <a:ext cx="1038225" cy="96329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610506</xdr:colOff>
      <xdr:row>22</xdr:row>
      <xdr:rowOff>178708</xdr:rowOff>
    </xdr:from>
    <xdr:to>
      <xdr:col>16</xdr:col>
      <xdr:colOff>828675</xdr:colOff>
      <xdr:row>26</xdr:row>
      <xdr:rowOff>73025</xdr:rowOff>
    </xdr:to>
    <xdr:sp macro="" textlink="">
      <xdr:nvSpPr>
        <xdr:cNvPr id="12" name="TextBox 11">
          <a:extLst>
            <a:ext uri="{FF2B5EF4-FFF2-40B4-BE49-F238E27FC236}">
              <a16:creationId xmlns:a16="http://schemas.microsoft.com/office/drawing/2014/main" id="{0D9C9D6A-7EAB-478C-BC22-65A27DA7616C}"/>
            </a:ext>
          </a:extLst>
        </xdr:cNvPr>
        <xdr:cNvSpPr txBox="1"/>
      </xdr:nvSpPr>
      <xdr:spPr>
        <a:xfrm>
          <a:off x="16850631" y="5506358"/>
          <a:ext cx="2205719" cy="61504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495549</xdr:colOff>
      <xdr:row>2</xdr:row>
      <xdr:rowOff>86535</xdr:rowOff>
    </xdr:from>
    <xdr:to>
      <xdr:col>16</xdr:col>
      <xdr:colOff>495549</xdr:colOff>
      <xdr:row>4</xdr:row>
      <xdr:rowOff>376518</xdr:rowOff>
    </xdr:to>
    <xdr:cxnSp macro="">
      <xdr:nvCxnSpPr>
        <xdr:cNvPr id="13" name="Straight Arrow Connector 12">
          <a:extLst>
            <a:ext uri="{FF2B5EF4-FFF2-40B4-BE49-F238E27FC236}">
              <a16:creationId xmlns:a16="http://schemas.microsoft.com/office/drawing/2014/main" id="{887C2A68-015A-4429-891B-07522659D672}"/>
            </a:ext>
          </a:extLst>
        </xdr:cNvPr>
        <xdr:cNvCxnSpPr>
          <a:cxnSpLocks/>
        </xdr:cNvCxnSpPr>
      </xdr:nvCxnSpPr>
      <xdr:spPr>
        <a:xfrm>
          <a:off x="18726399" y="740585"/>
          <a:ext cx="0" cy="68050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465666</xdr:colOff>
      <xdr:row>0</xdr:row>
      <xdr:rowOff>116416</xdr:rowOff>
    </xdr:from>
    <xdr:to>
      <xdr:col>19</xdr:col>
      <xdr:colOff>396732</xdr:colOff>
      <xdr:row>2</xdr:row>
      <xdr:rowOff>117393</xdr:rowOff>
    </xdr:to>
    <xdr:sp macro="" textlink="">
      <xdr:nvSpPr>
        <xdr:cNvPr id="14" name="TextBox 13">
          <a:extLst>
            <a:ext uri="{FF2B5EF4-FFF2-40B4-BE49-F238E27FC236}">
              <a16:creationId xmlns:a16="http://schemas.microsoft.com/office/drawing/2014/main" id="{0C2809A1-BAE0-401A-BA02-3AE863EBD5A8}"/>
            </a:ext>
          </a:extLst>
        </xdr:cNvPr>
        <xdr:cNvSpPr txBox="1"/>
      </xdr:nvSpPr>
      <xdr:spPr>
        <a:xfrm>
          <a:off x="16708966" y="116416"/>
          <a:ext cx="5906416" cy="6582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18</xdr:col>
      <xdr:colOff>0</xdr:colOff>
      <xdr:row>8</xdr:row>
      <xdr:rowOff>80909</xdr:rowOff>
    </xdr:from>
    <xdr:to>
      <xdr:col>18</xdr:col>
      <xdr:colOff>1017905</xdr:colOff>
      <xdr:row>9</xdr:row>
      <xdr:rowOff>128912</xdr:rowOff>
    </xdr:to>
    <xdr:cxnSp macro="">
      <xdr:nvCxnSpPr>
        <xdr:cNvPr id="2" name="Straight Arrow Connector 5">
          <a:extLst>
            <a:ext uri="{FF2B5EF4-FFF2-40B4-BE49-F238E27FC236}">
              <a16:creationId xmlns:a16="http://schemas.microsoft.com/office/drawing/2014/main" id="{8B3DC5C0-C4A1-440D-872C-B66CA8C50E7D}"/>
            </a:ext>
          </a:extLst>
        </xdr:cNvPr>
        <xdr:cNvCxnSpPr>
          <a:stCxn id="7" idx="1"/>
        </xdr:cNvCxnSpPr>
      </xdr:nvCxnSpPr>
      <xdr:spPr>
        <a:xfrm flipH="1" flipV="1">
          <a:off x="20754975" y="2874909"/>
          <a:ext cx="1021080" cy="22262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374287</xdr:colOff>
      <xdr:row>15</xdr:row>
      <xdr:rowOff>159099</xdr:rowOff>
    </xdr:from>
    <xdr:to>
      <xdr:col>22</xdr:col>
      <xdr:colOff>1270</xdr:colOff>
      <xdr:row>20</xdr:row>
      <xdr:rowOff>12651</xdr:rowOff>
    </xdr:to>
    <xdr:grpSp>
      <xdr:nvGrpSpPr>
        <xdr:cNvPr id="3" name="Group 2">
          <a:extLst>
            <a:ext uri="{FF2B5EF4-FFF2-40B4-BE49-F238E27FC236}">
              <a16:creationId xmlns:a16="http://schemas.microsoft.com/office/drawing/2014/main" id="{E3669E68-1211-497C-811F-6E5D5AC15CB1}"/>
            </a:ext>
          </a:extLst>
        </xdr:cNvPr>
        <xdr:cNvGrpSpPr/>
      </xdr:nvGrpSpPr>
      <xdr:grpSpPr>
        <a:xfrm>
          <a:off x="21126087" y="4248499"/>
          <a:ext cx="5526133" cy="983852"/>
          <a:chOff x="20261852" y="4142033"/>
          <a:chExt cx="5103844" cy="623037"/>
        </a:xfrm>
      </xdr:grpSpPr>
      <xdr:cxnSp macro="">
        <xdr:nvCxnSpPr>
          <xdr:cNvPr id="4" name="Straight Arrow Connector 5">
            <a:extLst>
              <a:ext uri="{FF2B5EF4-FFF2-40B4-BE49-F238E27FC236}">
                <a16:creationId xmlns:a16="http://schemas.microsoft.com/office/drawing/2014/main" id="{746ECC56-B7C3-93F5-47A4-90DFCF336EE7}"/>
              </a:ext>
            </a:extLst>
          </xdr:cNvPr>
          <xdr:cNvCxnSpPr/>
        </xdr:nvCxnSpPr>
        <xdr:spPr>
          <a:xfrm flipH="1">
            <a:off x="22028252" y="4361505"/>
            <a:ext cx="517304" cy="37813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 name="Straight Arrow Connector 5">
            <a:extLst>
              <a:ext uri="{FF2B5EF4-FFF2-40B4-BE49-F238E27FC236}">
                <a16:creationId xmlns:a16="http://schemas.microsoft.com/office/drawing/2014/main" id="{06CD9AC3-1E6C-3060-208B-638E69DA5DBB}"/>
              </a:ext>
            </a:extLst>
          </xdr:cNvPr>
          <xdr:cNvCxnSpPr/>
        </xdr:nvCxnSpPr>
        <xdr:spPr>
          <a:xfrm flipH="1">
            <a:off x="20261852" y="4365625"/>
            <a:ext cx="1934573" cy="39944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 name="Straight Arrow Connector 5">
            <a:extLst>
              <a:ext uri="{FF2B5EF4-FFF2-40B4-BE49-F238E27FC236}">
                <a16:creationId xmlns:a16="http://schemas.microsoft.com/office/drawing/2014/main" id="{34E0E6ED-9EE6-4ECE-CC0E-C50229AC9F1C}"/>
              </a:ext>
            </a:extLst>
          </xdr:cNvPr>
          <xdr:cNvCxnSpPr>
            <a:stCxn id="8" idx="3"/>
          </xdr:cNvCxnSpPr>
        </xdr:nvCxnSpPr>
        <xdr:spPr>
          <a:xfrm>
            <a:off x="24758219" y="4142033"/>
            <a:ext cx="607477" cy="57747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1014726</xdr:colOff>
      <xdr:row>7</xdr:row>
      <xdr:rowOff>159177</xdr:rowOff>
    </xdr:from>
    <xdr:to>
      <xdr:col>20</xdr:col>
      <xdr:colOff>896634</xdr:colOff>
      <xdr:row>11</xdr:row>
      <xdr:rowOff>104979</xdr:rowOff>
    </xdr:to>
    <xdr:sp macro="" textlink="">
      <xdr:nvSpPr>
        <xdr:cNvPr id="7" name="TextBox 26">
          <a:extLst>
            <a:ext uri="{FF2B5EF4-FFF2-40B4-BE49-F238E27FC236}">
              <a16:creationId xmlns:a16="http://schemas.microsoft.com/office/drawing/2014/main" id="{E67E6E36-D327-4A84-A026-E533CA2B50BE}"/>
            </a:ext>
          </a:extLst>
        </xdr:cNvPr>
        <xdr:cNvSpPr txBox="1"/>
      </xdr:nvSpPr>
      <xdr:spPr>
        <a:xfrm>
          <a:off x="21772876" y="2772202"/>
          <a:ext cx="2774333" cy="66335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693255</xdr:colOff>
      <xdr:row>14</xdr:row>
      <xdr:rowOff>8248</xdr:rowOff>
    </xdr:from>
    <xdr:to>
      <xdr:col>21</xdr:col>
      <xdr:colOff>762000</xdr:colOff>
      <xdr:row>17</xdr:row>
      <xdr:rowOff>122620</xdr:rowOff>
    </xdr:to>
    <xdr:sp macro="" textlink="">
      <xdr:nvSpPr>
        <xdr:cNvPr id="8" name="TextBox 27">
          <a:extLst>
            <a:ext uri="{FF2B5EF4-FFF2-40B4-BE49-F238E27FC236}">
              <a16:creationId xmlns:a16="http://schemas.microsoft.com/office/drawing/2014/main" id="{9AB6E5EF-7D83-4401-94CA-9E0A833DC0AF}"/>
            </a:ext>
          </a:extLst>
        </xdr:cNvPr>
        <xdr:cNvSpPr txBox="1"/>
      </xdr:nvSpPr>
      <xdr:spPr>
        <a:xfrm>
          <a:off x="21451405" y="3888098"/>
          <a:ext cx="4551845" cy="65729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5</xdr:col>
      <xdr:colOff>92076</xdr:colOff>
      <xdr:row>79</xdr:row>
      <xdr:rowOff>88890</xdr:rowOff>
    </xdr:from>
    <xdr:to>
      <xdr:col>7</xdr:col>
      <xdr:colOff>439271</xdr:colOff>
      <xdr:row>83</xdr:row>
      <xdr:rowOff>57150</xdr:rowOff>
    </xdr:to>
    <xdr:grpSp>
      <xdr:nvGrpSpPr>
        <xdr:cNvPr id="9" name="Group 8">
          <a:extLst>
            <a:ext uri="{FF2B5EF4-FFF2-40B4-BE49-F238E27FC236}">
              <a16:creationId xmlns:a16="http://schemas.microsoft.com/office/drawing/2014/main" id="{B824337D-8D08-432E-A772-EB50E23B45F1}"/>
            </a:ext>
          </a:extLst>
        </xdr:cNvPr>
        <xdr:cNvGrpSpPr/>
      </xdr:nvGrpSpPr>
      <xdr:grpSpPr>
        <a:xfrm>
          <a:off x="6689726" y="16509990"/>
          <a:ext cx="3191995" cy="704860"/>
          <a:chOff x="6432551" y="16522703"/>
          <a:chExt cx="4024423" cy="1008359"/>
        </a:xfrm>
      </xdr:grpSpPr>
      <xdr:sp macro="" textlink="">
        <xdr:nvSpPr>
          <xdr:cNvPr id="10" name="TextBox 7">
            <a:extLst>
              <a:ext uri="{FF2B5EF4-FFF2-40B4-BE49-F238E27FC236}">
                <a16:creationId xmlns:a16="http://schemas.microsoft.com/office/drawing/2014/main" id="{5E9BB5A6-A8A6-961C-000A-9C39EA8DA594}"/>
              </a:ext>
            </a:extLst>
          </xdr:cNvPr>
          <xdr:cNvSpPr txBox="1"/>
        </xdr:nvSpPr>
        <xdr:spPr>
          <a:xfrm>
            <a:off x="7137399" y="16573223"/>
            <a:ext cx="3319575" cy="95783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CO</a:t>
            </a:r>
            <a:r>
              <a:rPr lang="en-GB" sz="1100" baseline="-25000"/>
              <a:t>2</a:t>
            </a:r>
            <a:r>
              <a:rPr lang="en-GB" sz="1100" baseline="0"/>
              <a:t> capture rate is linked to the response given in the Initial questions worksheet.</a:t>
            </a:r>
            <a:endParaRPr lang="en-GB" sz="1100"/>
          </a:p>
        </xdr:txBody>
      </xdr:sp>
      <xdr:cxnSp macro="">
        <xdr:nvCxnSpPr>
          <xdr:cNvPr id="11" name="Straight Arrow Connector 5">
            <a:extLst>
              <a:ext uri="{FF2B5EF4-FFF2-40B4-BE49-F238E27FC236}">
                <a16:creationId xmlns:a16="http://schemas.microsoft.com/office/drawing/2014/main" id="{68E36ACA-9F8D-2EE2-E59B-4FC8C072A1BD}"/>
              </a:ext>
            </a:extLst>
          </xdr:cNvPr>
          <xdr:cNvCxnSpPr>
            <a:stCxn id="10" idx="1"/>
          </xdr:cNvCxnSpPr>
        </xdr:nvCxnSpPr>
        <xdr:spPr>
          <a:xfrm flipH="1" flipV="1">
            <a:off x="6432551" y="16522703"/>
            <a:ext cx="704848" cy="52943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0</xdr:colOff>
      <xdr:row>4</xdr:row>
      <xdr:rowOff>0</xdr:rowOff>
    </xdr:from>
    <xdr:to>
      <xdr:col>2</xdr:col>
      <xdr:colOff>2371567</xdr:colOff>
      <xdr:row>4</xdr:row>
      <xdr:rowOff>828130</xdr:rowOff>
    </xdr:to>
    <xdr:sp macro="" textlink="">
      <xdr:nvSpPr>
        <xdr:cNvPr id="12" name="TextBox 17">
          <a:extLst>
            <a:ext uri="{FF2B5EF4-FFF2-40B4-BE49-F238E27FC236}">
              <a16:creationId xmlns:a16="http://schemas.microsoft.com/office/drawing/2014/main" id="{934F6CA7-EA04-4A19-84DC-E2BA2887482A}"/>
            </a:ext>
          </a:extLst>
        </xdr:cNvPr>
        <xdr:cNvSpPr txBox="1"/>
      </xdr:nvSpPr>
      <xdr:spPr>
        <a:xfrm>
          <a:off x="295275" y="1047750"/>
          <a:ext cx="4003517" cy="83130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800100</xdr:colOff>
      <xdr:row>9</xdr:row>
      <xdr:rowOff>28575</xdr:rowOff>
    </xdr:from>
    <xdr:to>
      <xdr:col>15</xdr:col>
      <xdr:colOff>479653</xdr:colOff>
      <xdr:row>14</xdr:row>
      <xdr:rowOff>0</xdr:rowOff>
    </xdr:to>
    <xdr:cxnSp macro="">
      <xdr:nvCxnSpPr>
        <xdr:cNvPr id="13" name="Straight Arrow Connector 5">
          <a:extLst>
            <a:ext uri="{FF2B5EF4-FFF2-40B4-BE49-F238E27FC236}">
              <a16:creationId xmlns:a16="http://schemas.microsoft.com/office/drawing/2014/main" id="{088E9287-D125-4580-A7AB-A42C6AF37C9C}"/>
            </a:ext>
          </a:extLst>
        </xdr:cNvPr>
        <xdr:cNvCxnSpPr>
          <a:stCxn id="17" idx="0"/>
        </xdr:cNvCxnSpPr>
      </xdr:nvCxnSpPr>
      <xdr:spPr>
        <a:xfrm flipH="1" flipV="1">
          <a:off x="17040225" y="2997200"/>
          <a:ext cx="940028" cy="8794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30069</xdr:colOff>
      <xdr:row>7</xdr:row>
      <xdr:rowOff>104402</xdr:rowOff>
    </xdr:from>
    <xdr:to>
      <xdr:col>14</xdr:col>
      <xdr:colOff>219075</xdr:colOff>
      <xdr:row>8</xdr:row>
      <xdr:rowOff>0</xdr:rowOff>
    </xdr:to>
    <xdr:cxnSp macro="">
      <xdr:nvCxnSpPr>
        <xdr:cNvPr id="14" name="Straight Arrow Connector 2">
          <a:extLst>
            <a:ext uri="{FF2B5EF4-FFF2-40B4-BE49-F238E27FC236}">
              <a16:creationId xmlns:a16="http://schemas.microsoft.com/office/drawing/2014/main" id="{BC048C9E-F29F-4495-82F2-5C0413EAF8CF}"/>
            </a:ext>
          </a:extLst>
        </xdr:cNvPr>
        <xdr:cNvCxnSpPr/>
      </xdr:nvCxnSpPr>
      <xdr:spPr>
        <a:xfrm>
          <a:off x="16267019" y="2717427"/>
          <a:ext cx="189006" cy="7339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981795</xdr:colOff>
      <xdr:row>8</xdr:row>
      <xdr:rowOff>104775</xdr:rowOff>
    </xdr:from>
    <xdr:to>
      <xdr:col>14</xdr:col>
      <xdr:colOff>142875</xdr:colOff>
      <xdr:row>8</xdr:row>
      <xdr:rowOff>105363</xdr:rowOff>
    </xdr:to>
    <xdr:cxnSp macro="">
      <xdr:nvCxnSpPr>
        <xdr:cNvPr id="15" name="Straight Arrow Connector 14">
          <a:extLst>
            <a:ext uri="{FF2B5EF4-FFF2-40B4-BE49-F238E27FC236}">
              <a16:creationId xmlns:a16="http://schemas.microsoft.com/office/drawing/2014/main" id="{21ED9BC8-0035-468B-8170-DEBF15F843F5}"/>
            </a:ext>
          </a:extLst>
        </xdr:cNvPr>
        <xdr:cNvCxnSpPr/>
      </xdr:nvCxnSpPr>
      <xdr:spPr>
        <a:xfrm flipV="1">
          <a:off x="16218620" y="2892425"/>
          <a:ext cx="161205" cy="58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495300</xdr:colOff>
      <xdr:row>1</xdr:row>
      <xdr:rowOff>133350</xdr:rowOff>
    </xdr:from>
    <xdr:to>
      <xdr:col>14</xdr:col>
      <xdr:colOff>495300</xdr:colOff>
      <xdr:row>4</xdr:row>
      <xdr:rowOff>304800</xdr:rowOff>
    </xdr:to>
    <xdr:cxnSp macro="">
      <xdr:nvCxnSpPr>
        <xdr:cNvPr id="16" name="Straight Arrow Connector 20">
          <a:extLst>
            <a:ext uri="{FF2B5EF4-FFF2-40B4-BE49-F238E27FC236}">
              <a16:creationId xmlns:a16="http://schemas.microsoft.com/office/drawing/2014/main" id="{8F5F8CE9-4FCB-40A9-8E73-2E6E1CA4D19D}"/>
            </a:ext>
          </a:extLst>
        </xdr:cNvPr>
        <xdr:cNvCxnSpPr>
          <a:cxnSpLocks/>
        </xdr:cNvCxnSpPr>
      </xdr:nvCxnSpPr>
      <xdr:spPr>
        <a:xfrm flipH="1">
          <a:off x="15735300" y="533400"/>
          <a:ext cx="1000125" cy="8191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625930</xdr:colOff>
      <xdr:row>14</xdr:row>
      <xdr:rowOff>0</xdr:rowOff>
    </xdr:from>
    <xdr:to>
      <xdr:col>16</xdr:col>
      <xdr:colOff>876301</xdr:colOff>
      <xdr:row>17</xdr:row>
      <xdr:rowOff>122121</xdr:rowOff>
    </xdr:to>
    <xdr:sp macro="" textlink="">
      <xdr:nvSpPr>
        <xdr:cNvPr id="17" name="TextBox 7">
          <a:extLst>
            <a:ext uri="{FF2B5EF4-FFF2-40B4-BE49-F238E27FC236}">
              <a16:creationId xmlns:a16="http://schemas.microsoft.com/office/drawing/2014/main" id="{B8F2DAF2-ABED-4D59-AECD-C748D742CF2C}"/>
            </a:ext>
          </a:extLst>
        </xdr:cNvPr>
        <xdr:cNvSpPr txBox="1"/>
      </xdr:nvSpPr>
      <xdr:spPr>
        <a:xfrm>
          <a:off x="16866055" y="3876675"/>
          <a:ext cx="2222046" cy="66822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hydrogen output.</a:t>
          </a:r>
          <a:endParaRPr lang="en-GB" sz="1100"/>
        </a:p>
      </xdr:txBody>
    </xdr:sp>
    <xdr:clientData/>
  </xdr:twoCellAnchor>
  <xdr:twoCellAnchor>
    <xdr:from>
      <xdr:col>16</xdr:col>
      <xdr:colOff>552450</xdr:colOff>
      <xdr:row>2</xdr:row>
      <xdr:rowOff>161925</xdr:rowOff>
    </xdr:from>
    <xdr:to>
      <xdr:col>16</xdr:col>
      <xdr:colOff>563309</xdr:colOff>
      <xdr:row>4</xdr:row>
      <xdr:rowOff>314325</xdr:rowOff>
    </xdr:to>
    <xdr:cxnSp macro="">
      <xdr:nvCxnSpPr>
        <xdr:cNvPr id="18" name="Straight Arrow Connector 17">
          <a:extLst>
            <a:ext uri="{FF2B5EF4-FFF2-40B4-BE49-F238E27FC236}">
              <a16:creationId xmlns:a16="http://schemas.microsoft.com/office/drawing/2014/main" id="{B96A3948-FB2B-4F79-819C-9C31A0747AC4}"/>
            </a:ext>
          </a:extLst>
        </xdr:cNvPr>
        <xdr:cNvCxnSpPr>
          <a:cxnSpLocks/>
        </xdr:cNvCxnSpPr>
      </xdr:nvCxnSpPr>
      <xdr:spPr>
        <a:xfrm>
          <a:off x="18764250" y="815975"/>
          <a:ext cx="7684" cy="5429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504825</xdr:colOff>
      <xdr:row>0</xdr:row>
      <xdr:rowOff>149225</xdr:rowOff>
    </xdr:from>
    <xdr:to>
      <xdr:col>19</xdr:col>
      <xdr:colOff>438150</xdr:colOff>
      <xdr:row>2</xdr:row>
      <xdr:rowOff>162559</xdr:rowOff>
    </xdr:to>
    <xdr:sp macro="" textlink="">
      <xdr:nvSpPr>
        <xdr:cNvPr id="22" name="TextBox 21">
          <a:extLst>
            <a:ext uri="{FF2B5EF4-FFF2-40B4-BE49-F238E27FC236}">
              <a16:creationId xmlns:a16="http://schemas.microsoft.com/office/drawing/2014/main" id="{5284BDA7-697C-4844-B26F-084372E30BC8}"/>
            </a:ext>
          </a:extLst>
        </xdr:cNvPr>
        <xdr:cNvSpPr txBox="1"/>
      </xdr:nvSpPr>
      <xdr:spPr>
        <a:xfrm>
          <a:off x="16741775" y="149225"/>
          <a:ext cx="5899150" cy="6673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24</xdr:col>
      <xdr:colOff>169636</xdr:colOff>
      <xdr:row>33</xdr:row>
      <xdr:rowOff>105682</xdr:rowOff>
    </xdr:from>
    <xdr:to>
      <xdr:col>34</xdr:col>
      <xdr:colOff>40822</xdr:colOff>
      <xdr:row>36</xdr:row>
      <xdr:rowOff>54428</xdr:rowOff>
    </xdr:to>
    <xdr:sp macro="" textlink="">
      <xdr:nvSpPr>
        <xdr:cNvPr id="2" name="Rectangle 1">
          <a:extLst>
            <a:ext uri="{FF2B5EF4-FFF2-40B4-BE49-F238E27FC236}">
              <a16:creationId xmlns:a16="http://schemas.microsoft.com/office/drawing/2014/main" id="{4661FF24-10E8-4BD9-A986-2FB01A9E89A1}"/>
            </a:ext>
          </a:extLst>
        </xdr:cNvPr>
        <xdr:cNvSpPr/>
      </xdr:nvSpPr>
      <xdr:spPr>
        <a:xfrm>
          <a:off x="26404207" y="7072539"/>
          <a:ext cx="4905829" cy="4794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GB" sz="1100">
              <a:solidFill>
                <a:schemeClr val="lt1"/>
              </a:solidFill>
              <a:effectLst/>
              <a:latin typeface="+mn-lt"/>
              <a:ea typeface="+mn-ea"/>
              <a:cs typeface="+mn-cs"/>
            </a:rPr>
            <a:t>If dLUC</a:t>
          </a:r>
          <a:r>
            <a:rPr lang="en-GB" sz="1100" baseline="0">
              <a:solidFill>
                <a:schemeClr val="lt1"/>
              </a:solidFill>
              <a:effectLst/>
              <a:latin typeface="+mn-lt"/>
              <a:ea typeface="+mn-ea"/>
              <a:cs typeface="+mn-cs"/>
            </a:rPr>
            <a:t> emissions </a:t>
          </a:r>
          <a:r>
            <a:rPr lang="en-GB" sz="1100">
              <a:solidFill>
                <a:schemeClr val="lt1"/>
              </a:solidFill>
              <a:effectLst/>
              <a:latin typeface="+mn-lt"/>
              <a:ea typeface="+mn-ea"/>
              <a:cs typeface="+mn-cs"/>
            </a:rPr>
            <a:t>are unknown, see the Guidance Feedstock dLUC</a:t>
          </a:r>
          <a:r>
            <a:rPr lang="en-GB" sz="1100" baseline="0">
              <a:solidFill>
                <a:schemeClr val="lt1"/>
              </a:solidFill>
              <a:effectLst/>
              <a:latin typeface="+mn-lt"/>
              <a:ea typeface="+mn-ea"/>
              <a:cs typeface="+mn-cs"/>
            </a:rPr>
            <a:t> worksheet</a:t>
          </a:r>
          <a:r>
            <a:rPr lang="en-GB" sz="1100">
              <a:solidFill>
                <a:schemeClr val="lt1"/>
              </a:solidFill>
              <a:effectLst/>
              <a:latin typeface="+mn-lt"/>
              <a:ea typeface="+mn-ea"/>
              <a:cs typeface="+mn-cs"/>
            </a:rPr>
            <a:t> for instructions on how to calculate this</a:t>
          </a:r>
          <a:endParaRPr lang="en-GB">
            <a:effectLst/>
          </a:endParaRPr>
        </a:p>
      </xdr:txBody>
    </xdr:sp>
    <xdr:clientData/>
  </xdr:twoCellAnchor>
  <xdr:twoCellAnchor>
    <xdr:from>
      <xdr:col>18</xdr:col>
      <xdr:colOff>920750</xdr:colOff>
      <xdr:row>23</xdr:row>
      <xdr:rowOff>152058</xdr:rowOff>
    </xdr:from>
    <xdr:to>
      <xdr:col>19</xdr:col>
      <xdr:colOff>1447572</xdr:colOff>
      <xdr:row>25</xdr:row>
      <xdr:rowOff>127000</xdr:rowOff>
    </xdr:to>
    <xdr:cxnSp macro="">
      <xdr:nvCxnSpPr>
        <xdr:cNvPr id="9" name="Straight Arrow Connector 5">
          <a:extLst>
            <a:ext uri="{FF2B5EF4-FFF2-40B4-BE49-F238E27FC236}">
              <a16:creationId xmlns:a16="http://schemas.microsoft.com/office/drawing/2014/main" id="{64A718E4-D326-4A95-8B12-24BDB37681E9}"/>
            </a:ext>
          </a:extLst>
        </xdr:cNvPr>
        <xdr:cNvCxnSpPr>
          <a:cxnSpLocks/>
        </xdr:cNvCxnSpPr>
      </xdr:nvCxnSpPr>
      <xdr:spPr>
        <a:xfrm flipH="1">
          <a:off x="19859625" y="5390808"/>
          <a:ext cx="1987322" cy="32419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1447572</xdr:colOff>
      <xdr:row>23</xdr:row>
      <xdr:rowOff>152058</xdr:rowOff>
    </xdr:from>
    <xdr:to>
      <xdr:col>21</xdr:col>
      <xdr:colOff>635000</xdr:colOff>
      <xdr:row>25</xdr:row>
      <xdr:rowOff>79375</xdr:rowOff>
    </xdr:to>
    <xdr:cxnSp macro="">
      <xdr:nvCxnSpPr>
        <xdr:cNvPr id="10" name="Straight Arrow Connector 5">
          <a:extLst>
            <a:ext uri="{FF2B5EF4-FFF2-40B4-BE49-F238E27FC236}">
              <a16:creationId xmlns:a16="http://schemas.microsoft.com/office/drawing/2014/main" id="{C7CB0161-BF1A-4A7F-847E-25E254A3EA48}"/>
            </a:ext>
          </a:extLst>
        </xdr:cNvPr>
        <xdr:cNvCxnSpPr>
          <a:cxnSpLocks/>
        </xdr:cNvCxnSpPr>
      </xdr:nvCxnSpPr>
      <xdr:spPr>
        <a:xfrm>
          <a:off x="21846947" y="5390808"/>
          <a:ext cx="1775053" cy="2765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880383</xdr:colOff>
      <xdr:row>20</xdr:row>
      <xdr:rowOff>185057</xdr:rowOff>
    </xdr:from>
    <xdr:to>
      <xdr:col>21</xdr:col>
      <xdr:colOff>964310</xdr:colOff>
      <xdr:row>24</xdr:row>
      <xdr:rowOff>98082</xdr:rowOff>
    </xdr:to>
    <xdr:sp macro="" textlink="">
      <xdr:nvSpPr>
        <xdr:cNvPr id="11" name="TextBox 27">
          <a:extLst>
            <a:ext uri="{FF2B5EF4-FFF2-40B4-BE49-F238E27FC236}">
              <a16:creationId xmlns:a16="http://schemas.microsoft.com/office/drawing/2014/main" id="{81FB6A88-C431-44E4-BE88-0CE508D5A1B7}"/>
            </a:ext>
          </a:extLst>
        </xdr:cNvPr>
        <xdr:cNvSpPr txBox="1"/>
      </xdr:nvSpPr>
      <xdr:spPr>
        <a:xfrm>
          <a:off x="20759058" y="5280932"/>
          <a:ext cx="4360652" cy="6750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4" name="TextBox 17">
          <a:extLst>
            <a:ext uri="{FF2B5EF4-FFF2-40B4-BE49-F238E27FC236}">
              <a16:creationId xmlns:a16="http://schemas.microsoft.com/office/drawing/2014/main" id="{09C3B9A6-81CC-40F4-9BEB-2DAD536B3B5C}"/>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13</xdr:col>
      <xdr:colOff>420205</xdr:colOff>
      <xdr:row>1</xdr:row>
      <xdr:rowOff>161925</xdr:rowOff>
    </xdr:from>
    <xdr:to>
      <xdr:col>14</xdr:col>
      <xdr:colOff>295275</xdr:colOff>
      <xdr:row>4</xdr:row>
      <xdr:rowOff>436770</xdr:rowOff>
    </xdr:to>
    <xdr:cxnSp macro="">
      <xdr:nvCxnSpPr>
        <xdr:cNvPr id="3" name="Straight Arrow Connector 20">
          <a:extLst>
            <a:ext uri="{FF2B5EF4-FFF2-40B4-BE49-F238E27FC236}">
              <a16:creationId xmlns:a16="http://schemas.microsoft.com/office/drawing/2014/main" id="{D790EE1E-907F-42EC-95ED-E4FDA798EACE}"/>
            </a:ext>
          </a:extLst>
        </xdr:cNvPr>
        <xdr:cNvCxnSpPr>
          <a:cxnSpLocks/>
        </xdr:cNvCxnSpPr>
      </xdr:nvCxnSpPr>
      <xdr:spPr>
        <a:xfrm flipH="1">
          <a:off x="15945955" y="558800"/>
          <a:ext cx="872020" cy="92572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522034</xdr:colOff>
      <xdr:row>2</xdr:row>
      <xdr:rowOff>161925</xdr:rowOff>
    </xdr:from>
    <xdr:to>
      <xdr:col>16</xdr:col>
      <xdr:colOff>522034</xdr:colOff>
      <xdr:row>4</xdr:row>
      <xdr:rowOff>342900</xdr:rowOff>
    </xdr:to>
    <xdr:cxnSp macro="">
      <xdr:nvCxnSpPr>
        <xdr:cNvPr id="5" name="Straight Arrow Connector 4">
          <a:extLst>
            <a:ext uri="{FF2B5EF4-FFF2-40B4-BE49-F238E27FC236}">
              <a16:creationId xmlns:a16="http://schemas.microsoft.com/office/drawing/2014/main" id="{774B44D8-FE1F-468D-9F1D-C6C29E405633}"/>
            </a:ext>
          </a:extLst>
        </xdr:cNvPr>
        <xdr:cNvCxnSpPr>
          <a:cxnSpLocks/>
        </xdr:cNvCxnSpPr>
      </xdr:nvCxnSpPr>
      <xdr:spPr>
        <a:xfrm flipH="1">
          <a:off x="17971834" y="819150"/>
          <a:ext cx="0" cy="5619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276225</xdr:colOff>
      <xdr:row>0</xdr:row>
      <xdr:rowOff>161925</xdr:rowOff>
    </xdr:from>
    <xdr:to>
      <xdr:col>19</xdr:col>
      <xdr:colOff>409575</xdr:colOff>
      <xdr:row>2</xdr:row>
      <xdr:rowOff>168909</xdr:rowOff>
    </xdr:to>
    <xdr:sp macro="" textlink="">
      <xdr:nvSpPr>
        <xdr:cNvPr id="7" name="TextBox 8">
          <a:extLst>
            <a:ext uri="{FF2B5EF4-FFF2-40B4-BE49-F238E27FC236}">
              <a16:creationId xmlns:a16="http://schemas.microsoft.com/office/drawing/2014/main" id="{F9DB4AD2-3E7E-4825-94F1-9050DB25EAAE}"/>
            </a:ext>
          </a:extLst>
        </xdr:cNvPr>
        <xdr:cNvSpPr txBox="1"/>
      </xdr:nvSpPr>
      <xdr:spPr>
        <a:xfrm>
          <a:off x="16783050" y="161925"/>
          <a:ext cx="5895975"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twoCellAnchor>
    <xdr:from>
      <xdr:col>18</xdr:col>
      <xdr:colOff>423636</xdr:colOff>
      <xdr:row>17</xdr:row>
      <xdr:rowOff>118382</xdr:rowOff>
    </xdr:from>
    <xdr:to>
      <xdr:col>21</xdr:col>
      <xdr:colOff>335643</xdr:colOff>
      <xdr:row>20</xdr:row>
      <xdr:rowOff>77559</xdr:rowOff>
    </xdr:to>
    <xdr:sp macro="" textlink="">
      <xdr:nvSpPr>
        <xdr:cNvPr id="8" name="TextBox 10">
          <a:extLst>
            <a:ext uri="{FF2B5EF4-FFF2-40B4-BE49-F238E27FC236}">
              <a16:creationId xmlns:a16="http://schemas.microsoft.com/office/drawing/2014/main" id="{D188871A-C540-4C4C-8847-3A986651514F}"/>
            </a:ext>
          </a:extLst>
        </xdr:cNvPr>
        <xdr:cNvSpPr txBox="1"/>
      </xdr:nvSpPr>
      <xdr:spPr>
        <a:xfrm>
          <a:off x="20302311" y="4642757"/>
          <a:ext cx="4188732" cy="53067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17</xdr:col>
      <xdr:colOff>1156608</xdr:colOff>
      <xdr:row>19</xdr:row>
      <xdr:rowOff>7937</xdr:rowOff>
    </xdr:from>
    <xdr:to>
      <xdr:col>18</xdr:col>
      <xdr:colOff>426811</xdr:colOff>
      <xdr:row>19</xdr:row>
      <xdr:rowOff>87992</xdr:rowOff>
    </xdr:to>
    <xdr:cxnSp macro="">
      <xdr:nvCxnSpPr>
        <xdr:cNvPr id="12" name="Straight Arrow Connector 5">
          <a:extLst>
            <a:ext uri="{FF2B5EF4-FFF2-40B4-BE49-F238E27FC236}">
              <a16:creationId xmlns:a16="http://schemas.microsoft.com/office/drawing/2014/main" id="{D3FC92C3-63EF-4DF2-BB62-50AAB8616547}"/>
            </a:ext>
          </a:extLst>
        </xdr:cNvPr>
        <xdr:cNvCxnSpPr>
          <a:stCxn id="8" idx="1"/>
        </xdr:cNvCxnSpPr>
      </xdr:nvCxnSpPr>
      <xdr:spPr>
        <a:xfrm flipH="1">
          <a:off x="19863708" y="4913312"/>
          <a:ext cx="441778" cy="8005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xdr:from>
      <xdr:col>18</xdr:col>
      <xdr:colOff>574676</xdr:colOff>
      <xdr:row>24</xdr:row>
      <xdr:rowOff>125639</xdr:rowOff>
    </xdr:from>
    <xdr:to>
      <xdr:col>19</xdr:col>
      <xdr:colOff>95250</xdr:colOff>
      <xdr:row>25</xdr:row>
      <xdr:rowOff>160111</xdr:rowOff>
    </xdr:to>
    <xdr:cxnSp macro="">
      <xdr:nvCxnSpPr>
        <xdr:cNvPr id="29" name="Straight Arrow Connector 5">
          <a:extLst>
            <a:ext uri="{FF2B5EF4-FFF2-40B4-BE49-F238E27FC236}">
              <a16:creationId xmlns:a16="http://schemas.microsoft.com/office/drawing/2014/main" id="{28D503BC-6B92-4763-8CF4-DAEA28A4E7A8}"/>
            </a:ext>
          </a:extLst>
        </xdr:cNvPr>
        <xdr:cNvCxnSpPr/>
      </xdr:nvCxnSpPr>
      <xdr:spPr>
        <a:xfrm flipH="1">
          <a:off x="18590533" y="5758996"/>
          <a:ext cx="976538" cy="21136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1331006</xdr:colOff>
      <xdr:row>24</xdr:row>
      <xdr:rowOff>125296</xdr:rowOff>
    </xdr:from>
    <xdr:to>
      <xdr:col>21</xdr:col>
      <xdr:colOff>272142</xdr:colOff>
      <xdr:row>25</xdr:row>
      <xdr:rowOff>163286</xdr:rowOff>
    </xdr:to>
    <xdr:cxnSp macro="">
      <xdr:nvCxnSpPr>
        <xdr:cNvPr id="2" name="Straight Arrow Connector 5">
          <a:extLst>
            <a:ext uri="{FF2B5EF4-FFF2-40B4-BE49-F238E27FC236}">
              <a16:creationId xmlns:a16="http://schemas.microsoft.com/office/drawing/2014/main" id="{FD3C2DD4-5B6B-45F6-8D37-FD11328601C7}"/>
            </a:ext>
          </a:extLst>
        </xdr:cNvPr>
        <xdr:cNvCxnSpPr>
          <a:cxnSpLocks/>
        </xdr:cNvCxnSpPr>
      </xdr:nvCxnSpPr>
      <xdr:spPr>
        <a:xfrm>
          <a:off x="20802827" y="5853903"/>
          <a:ext cx="1526494" cy="2148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465817</xdr:colOff>
      <xdr:row>17</xdr:row>
      <xdr:rowOff>112033</xdr:rowOff>
    </xdr:from>
    <xdr:to>
      <xdr:col>21</xdr:col>
      <xdr:colOff>377824</xdr:colOff>
      <xdr:row>20</xdr:row>
      <xdr:rowOff>71210</xdr:rowOff>
    </xdr:to>
    <xdr:sp macro="" textlink="">
      <xdr:nvSpPr>
        <xdr:cNvPr id="22" name="TextBox 10">
          <a:extLst>
            <a:ext uri="{FF2B5EF4-FFF2-40B4-BE49-F238E27FC236}">
              <a16:creationId xmlns:a16="http://schemas.microsoft.com/office/drawing/2014/main" id="{81554318-4A6D-4CF6-A861-119ED87EFD4A}"/>
            </a:ext>
          </a:extLst>
        </xdr:cNvPr>
        <xdr:cNvSpPr txBox="1"/>
      </xdr:nvSpPr>
      <xdr:spPr>
        <a:xfrm>
          <a:off x="18481674" y="4507140"/>
          <a:ext cx="3953329"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27214</xdr:colOff>
      <xdr:row>19</xdr:row>
      <xdr:rowOff>1588</xdr:rowOff>
    </xdr:from>
    <xdr:to>
      <xdr:col>18</xdr:col>
      <xdr:colOff>468992</xdr:colOff>
      <xdr:row>19</xdr:row>
      <xdr:rowOff>81643</xdr:rowOff>
    </xdr:to>
    <xdr:cxnSp macro="">
      <xdr:nvCxnSpPr>
        <xdr:cNvPr id="26" name="Straight Arrow Connector 5">
          <a:extLst>
            <a:ext uri="{FF2B5EF4-FFF2-40B4-BE49-F238E27FC236}">
              <a16:creationId xmlns:a16="http://schemas.microsoft.com/office/drawing/2014/main" id="{5A7284DD-54E2-49DB-B4E7-093171F4D0B3}"/>
            </a:ext>
          </a:extLst>
        </xdr:cNvPr>
        <xdr:cNvCxnSpPr>
          <a:stCxn id="22" idx="1"/>
        </xdr:cNvCxnSpPr>
      </xdr:nvCxnSpPr>
      <xdr:spPr>
        <a:xfrm flipH="1">
          <a:off x="18043071" y="4845731"/>
          <a:ext cx="441778" cy="8005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557893</xdr:colOff>
      <xdr:row>21</xdr:row>
      <xdr:rowOff>0</xdr:rowOff>
    </xdr:from>
    <xdr:to>
      <xdr:col>21</xdr:col>
      <xdr:colOff>641820</xdr:colOff>
      <xdr:row>24</xdr:row>
      <xdr:rowOff>103525</xdr:rowOff>
    </xdr:to>
    <xdr:sp macro="" textlink="">
      <xdr:nvSpPr>
        <xdr:cNvPr id="4" name="TextBox 27">
          <a:extLst>
            <a:ext uri="{FF2B5EF4-FFF2-40B4-BE49-F238E27FC236}">
              <a16:creationId xmlns:a16="http://schemas.microsoft.com/office/drawing/2014/main" id="{A6F5C4C7-6F88-4A9C-B1F2-719DC780A9C9}"/>
            </a:ext>
          </a:extLst>
        </xdr:cNvPr>
        <xdr:cNvSpPr txBox="1"/>
      </xdr:nvSpPr>
      <xdr:spPr>
        <a:xfrm>
          <a:off x="18573750" y="5388429"/>
          <a:ext cx="4125249" cy="6342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7" name="TextBox 17">
          <a:extLst>
            <a:ext uri="{FF2B5EF4-FFF2-40B4-BE49-F238E27FC236}">
              <a16:creationId xmlns:a16="http://schemas.microsoft.com/office/drawing/2014/main" id="{222A697B-8F2C-432C-8DB2-A881966F6C42}"/>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676275</xdr:colOff>
      <xdr:row>20</xdr:row>
      <xdr:rowOff>0</xdr:rowOff>
    </xdr:from>
    <xdr:to>
      <xdr:col>16</xdr:col>
      <xdr:colOff>2651</xdr:colOff>
      <xdr:row>23</xdr:row>
      <xdr:rowOff>125700</xdr:rowOff>
    </xdr:to>
    <xdr:cxnSp macro="">
      <xdr:nvCxnSpPr>
        <xdr:cNvPr id="3" name="Straight Arrow Connector 5">
          <a:extLst>
            <a:ext uri="{FF2B5EF4-FFF2-40B4-BE49-F238E27FC236}">
              <a16:creationId xmlns:a16="http://schemas.microsoft.com/office/drawing/2014/main" id="{F7D164AF-208C-4303-833D-74E09608177E}"/>
            </a:ext>
          </a:extLst>
        </xdr:cNvPr>
        <xdr:cNvCxnSpPr/>
      </xdr:nvCxnSpPr>
      <xdr:spPr>
        <a:xfrm flipH="1" flipV="1">
          <a:off x="16913225" y="4962525"/>
          <a:ext cx="1186926" cy="6654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xdr:row>
      <xdr:rowOff>152400</xdr:rowOff>
    </xdr:from>
    <xdr:to>
      <xdr:col>14</xdr:col>
      <xdr:colOff>121064</xdr:colOff>
      <xdr:row>19</xdr:row>
      <xdr:rowOff>30784</xdr:rowOff>
    </xdr:to>
    <xdr:cxnSp macro="">
      <xdr:nvCxnSpPr>
        <xdr:cNvPr id="5" name="Straight Arrow Connector 4">
          <a:extLst>
            <a:ext uri="{FF2B5EF4-FFF2-40B4-BE49-F238E27FC236}">
              <a16:creationId xmlns:a16="http://schemas.microsoft.com/office/drawing/2014/main" id="{6322B08C-15AD-4868-A6BB-3B27FFDB92E3}"/>
            </a:ext>
          </a:extLst>
        </xdr:cNvPr>
        <xdr:cNvCxnSpPr/>
      </xdr:nvCxnSpPr>
      <xdr:spPr>
        <a:xfrm>
          <a:off x="16240125" y="2762250"/>
          <a:ext cx="124239" cy="204690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19</xdr:row>
      <xdr:rowOff>86001</xdr:rowOff>
    </xdr:from>
    <xdr:to>
      <xdr:col>14</xdr:col>
      <xdr:colOff>152400</xdr:colOff>
      <xdr:row>19</xdr:row>
      <xdr:rowOff>86001</xdr:rowOff>
    </xdr:to>
    <xdr:cxnSp macro="">
      <xdr:nvCxnSpPr>
        <xdr:cNvPr id="6" name="Straight Arrow Connector 3">
          <a:extLst>
            <a:ext uri="{FF2B5EF4-FFF2-40B4-BE49-F238E27FC236}">
              <a16:creationId xmlns:a16="http://schemas.microsoft.com/office/drawing/2014/main" id="{1C835DFB-6F88-4EE1-BE4F-9A6C369CA641}"/>
            </a:ext>
          </a:extLst>
        </xdr:cNvPr>
        <xdr:cNvCxnSpPr/>
      </xdr:nvCxnSpPr>
      <xdr:spPr>
        <a:xfrm>
          <a:off x="16240125" y="4864376"/>
          <a:ext cx="15240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303774</xdr:colOff>
      <xdr:row>23</xdr:row>
      <xdr:rowOff>133153</xdr:rowOff>
    </xdr:from>
    <xdr:to>
      <xdr:col>16</xdr:col>
      <xdr:colOff>914401</xdr:colOff>
      <xdr:row>27</xdr:row>
      <xdr:rowOff>55426</xdr:rowOff>
    </xdr:to>
    <xdr:sp macro="" textlink="">
      <xdr:nvSpPr>
        <xdr:cNvPr id="9" name="TextBox 9">
          <a:extLst>
            <a:ext uri="{FF2B5EF4-FFF2-40B4-BE49-F238E27FC236}">
              <a16:creationId xmlns:a16="http://schemas.microsoft.com/office/drawing/2014/main" id="{759808CC-7ECE-4392-9165-16038890BE92}"/>
            </a:ext>
          </a:extLst>
        </xdr:cNvPr>
        <xdr:cNvSpPr txBox="1"/>
      </xdr:nvSpPr>
      <xdr:spPr>
        <a:xfrm>
          <a:off x="16543899" y="5638603"/>
          <a:ext cx="2468002" cy="6461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492125</xdr:colOff>
      <xdr:row>2</xdr:row>
      <xdr:rowOff>161925</xdr:rowOff>
    </xdr:from>
    <xdr:to>
      <xdr:col>16</xdr:col>
      <xdr:colOff>502984</xdr:colOff>
      <xdr:row>4</xdr:row>
      <xdr:rowOff>314325</xdr:rowOff>
    </xdr:to>
    <xdr:cxnSp macro="">
      <xdr:nvCxnSpPr>
        <xdr:cNvPr id="10" name="Straight Arrow Connector 9">
          <a:extLst>
            <a:ext uri="{FF2B5EF4-FFF2-40B4-BE49-F238E27FC236}">
              <a16:creationId xmlns:a16="http://schemas.microsoft.com/office/drawing/2014/main" id="{C02AAEAA-B82C-492B-845F-7C130950CB08}"/>
            </a:ext>
          </a:extLst>
        </xdr:cNvPr>
        <xdr:cNvCxnSpPr>
          <a:cxnSpLocks/>
        </xdr:cNvCxnSpPr>
      </xdr:nvCxnSpPr>
      <xdr:spPr>
        <a:xfrm>
          <a:off x="17770475" y="819150"/>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523875</xdr:colOff>
      <xdr:row>1</xdr:row>
      <xdr:rowOff>57150</xdr:rowOff>
    </xdr:from>
    <xdr:to>
      <xdr:col>14</xdr:col>
      <xdr:colOff>552450</xdr:colOff>
      <xdr:row>4</xdr:row>
      <xdr:rowOff>504825</xdr:rowOff>
    </xdr:to>
    <xdr:cxnSp macro="">
      <xdr:nvCxnSpPr>
        <xdr:cNvPr id="11" name="Straight Arrow Connector 20">
          <a:extLst>
            <a:ext uri="{FF2B5EF4-FFF2-40B4-BE49-F238E27FC236}">
              <a16:creationId xmlns:a16="http://schemas.microsoft.com/office/drawing/2014/main" id="{1F7E172D-5959-4BB0-8350-7D9F2FD67F52}"/>
            </a:ext>
          </a:extLst>
        </xdr:cNvPr>
        <xdr:cNvCxnSpPr>
          <a:cxnSpLocks/>
        </xdr:cNvCxnSpPr>
      </xdr:nvCxnSpPr>
      <xdr:spPr>
        <a:xfrm flipH="1">
          <a:off x="15760700" y="457200"/>
          <a:ext cx="1031875" cy="1092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37</xdr:row>
      <xdr:rowOff>0</xdr:rowOff>
    </xdr:from>
    <xdr:to>
      <xdr:col>21</xdr:col>
      <xdr:colOff>177800</xdr:colOff>
      <xdr:row>40</xdr:row>
      <xdr:rowOff>124459</xdr:rowOff>
    </xdr:to>
    <xdr:sp macro="" textlink="">
      <xdr:nvSpPr>
        <xdr:cNvPr id="13" name="TextBox 8">
          <a:extLst>
            <a:ext uri="{FF2B5EF4-FFF2-40B4-BE49-F238E27FC236}">
              <a16:creationId xmlns:a16="http://schemas.microsoft.com/office/drawing/2014/main" id="{B33BC6EF-EDE7-46BB-8B76-34140E589658}"/>
            </a:ext>
          </a:extLst>
        </xdr:cNvPr>
        <xdr:cNvSpPr txBox="1"/>
      </xdr:nvSpPr>
      <xdr:spPr>
        <a:xfrm>
          <a:off x="19411950" y="8039100"/>
          <a:ext cx="5892800" cy="6673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twoCellAnchor>
    <xdr:from>
      <xdr:col>17</xdr:col>
      <xdr:colOff>0</xdr:colOff>
      <xdr:row>37</xdr:row>
      <xdr:rowOff>0</xdr:rowOff>
    </xdr:from>
    <xdr:to>
      <xdr:col>21</xdr:col>
      <xdr:colOff>177800</xdr:colOff>
      <xdr:row>40</xdr:row>
      <xdr:rowOff>124459</xdr:rowOff>
    </xdr:to>
    <xdr:sp macro="" textlink="">
      <xdr:nvSpPr>
        <xdr:cNvPr id="14" name="TextBox 8">
          <a:extLst>
            <a:ext uri="{FF2B5EF4-FFF2-40B4-BE49-F238E27FC236}">
              <a16:creationId xmlns:a16="http://schemas.microsoft.com/office/drawing/2014/main" id="{C14FCE2D-BFEE-4B4F-947F-A6E43F7CDE65}"/>
            </a:ext>
          </a:extLst>
        </xdr:cNvPr>
        <xdr:cNvSpPr txBox="1"/>
      </xdr:nvSpPr>
      <xdr:spPr>
        <a:xfrm>
          <a:off x="19411950" y="8039100"/>
          <a:ext cx="5892800" cy="6673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twoCellAnchor>
    <xdr:from>
      <xdr:col>14</xdr:col>
      <xdr:colOff>533400</xdr:colOff>
      <xdr:row>0</xdr:row>
      <xdr:rowOff>152400</xdr:rowOff>
    </xdr:from>
    <xdr:to>
      <xdr:col>19</xdr:col>
      <xdr:colOff>577850</xdr:colOff>
      <xdr:row>2</xdr:row>
      <xdr:rowOff>159384</xdr:rowOff>
    </xdr:to>
    <xdr:sp macro="" textlink="">
      <xdr:nvSpPr>
        <xdr:cNvPr id="15" name="TextBox 8">
          <a:extLst>
            <a:ext uri="{FF2B5EF4-FFF2-40B4-BE49-F238E27FC236}">
              <a16:creationId xmlns:a16="http://schemas.microsoft.com/office/drawing/2014/main" id="{BAB18B68-4A78-40DF-BB36-D9ADBB64616B}"/>
            </a:ext>
          </a:extLst>
        </xdr:cNvPr>
        <xdr:cNvSpPr txBox="1"/>
      </xdr:nvSpPr>
      <xdr:spPr>
        <a:xfrm>
          <a:off x="16773525" y="152400"/>
          <a:ext cx="5892800"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18</xdr:col>
      <xdr:colOff>1064535</xdr:colOff>
      <xdr:row>24</xdr:row>
      <xdr:rowOff>122464</xdr:rowOff>
    </xdr:from>
    <xdr:to>
      <xdr:col>19</xdr:col>
      <xdr:colOff>476250</xdr:colOff>
      <xdr:row>25</xdr:row>
      <xdr:rowOff>143329</xdr:rowOff>
    </xdr:to>
    <xdr:cxnSp macro="">
      <xdr:nvCxnSpPr>
        <xdr:cNvPr id="6" name="Straight Arrow Connector 5">
          <a:extLst>
            <a:ext uri="{FF2B5EF4-FFF2-40B4-BE49-F238E27FC236}">
              <a16:creationId xmlns:a16="http://schemas.microsoft.com/office/drawing/2014/main" id="{C03A98DB-33FB-4336-A85B-458EDB8A661A}"/>
            </a:ext>
          </a:extLst>
        </xdr:cNvPr>
        <xdr:cNvCxnSpPr/>
      </xdr:nvCxnSpPr>
      <xdr:spPr>
        <a:xfrm flipH="1">
          <a:off x="19270892" y="5946321"/>
          <a:ext cx="867679" cy="19775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280089</xdr:colOff>
      <xdr:row>24</xdr:row>
      <xdr:rowOff>106700</xdr:rowOff>
    </xdr:from>
    <xdr:to>
      <xdr:col>21</xdr:col>
      <xdr:colOff>506639</xdr:colOff>
      <xdr:row>25</xdr:row>
      <xdr:rowOff>149679</xdr:rowOff>
    </xdr:to>
    <xdr:cxnSp macro="">
      <xdr:nvCxnSpPr>
        <xdr:cNvPr id="9" name="Straight Arrow Connector 5">
          <a:extLst>
            <a:ext uri="{FF2B5EF4-FFF2-40B4-BE49-F238E27FC236}">
              <a16:creationId xmlns:a16="http://schemas.microsoft.com/office/drawing/2014/main" id="{F3894E8E-5D57-4487-973A-17136AC0BB89}"/>
            </a:ext>
          </a:extLst>
        </xdr:cNvPr>
        <xdr:cNvCxnSpPr>
          <a:cxnSpLocks/>
          <a:stCxn id="5" idx="2"/>
        </xdr:cNvCxnSpPr>
      </xdr:nvCxnSpPr>
      <xdr:spPr>
        <a:xfrm>
          <a:off x="21398375" y="5930557"/>
          <a:ext cx="1355943" cy="21987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452209</xdr:colOff>
      <xdr:row>17</xdr:row>
      <xdr:rowOff>166463</xdr:rowOff>
    </xdr:from>
    <xdr:to>
      <xdr:col>21</xdr:col>
      <xdr:colOff>364216</xdr:colOff>
      <xdr:row>20</xdr:row>
      <xdr:rowOff>125640</xdr:rowOff>
    </xdr:to>
    <xdr:sp macro="" textlink="">
      <xdr:nvSpPr>
        <xdr:cNvPr id="28" name="TextBox 10">
          <a:extLst>
            <a:ext uri="{FF2B5EF4-FFF2-40B4-BE49-F238E27FC236}">
              <a16:creationId xmlns:a16="http://schemas.microsoft.com/office/drawing/2014/main" id="{9997BBF7-B0D0-4DF8-B043-AA33A99EBEAC}"/>
            </a:ext>
          </a:extLst>
        </xdr:cNvPr>
        <xdr:cNvSpPr txBox="1"/>
      </xdr:nvSpPr>
      <xdr:spPr>
        <a:xfrm>
          <a:off x="18658566" y="4561570"/>
          <a:ext cx="3953329"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0</xdr:colOff>
      <xdr:row>19</xdr:row>
      <xdr:rowOff>54430</xdr:rowOff>
    </xdr:from>
    <xdr:to>
      <xdr:col>18</xdr:col>
      <xdr:colOff>449034</xdr:colOff>
      <xdr:row>19</xdr:row>
      <xdr:rowOff>95250</xdr:rowOff>
    </xdr:to>
    <xdr:cxnSp macro="">
      <xdr:nvCxnSpPr>
        <xdr:cNvPr id="24" name="Straight Arrow Connector 5">
          <a:extLst>
            <a:ext uri="{FF2B5EF4-FFF2-40B4-BE49-F238E27FC236}">
              <a16:creationId xmlns:a16="http://schemas.microsoft.com/office/drawing/2014/main" id="{48C1F1C9-0AE3-4796-B7F1-B170D127D71D}"/>
            </a:ext>
          </a:extLst>
        </xdr:cNvPr>
        <xdr:cNvCxnSpPr>
          <a:stCxn id="28" idx="1"/>
        </xdr:cNvCxnSpPr>
      </xdr:nvCxnSpPr>
      <xdr:spPr>
        <a:xfrm flipH="1">
          <a:off x="18206357" y="4803323"/>
          <a:ext cx="449034" cy="4082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1129393</xdr:colOff>
      <xdr:row>21</xdr:row>
      <xdr:rowOff>0</xdr:rowOff>
    </xdr:from>
    <xdr:to>
      <xdr:col>21</xdr:col>
      <xdr:colOff>1213320</xdr:colOff>
      <xdr:row>24</xdr:row>
      <xdr:rowOff>103525</xdr:rowOff>
    </xdr:to>
    <xdr:sp macro="" textlink="">
      <xdr:nvSpPr>
        <xdr:cNvPr id="5" name="TextBox 27">
          <a:extLst>
            <a:ext uri="{FF2B5EF4-FFF2-40B4-BE49-F238E27FC236}">
              <a16:creationId xmlns:a16="http://schemas.microsoft.com/office/drawing/2014/main" id="{8AD61A53-10F2-4D11-AF6B-CBE8663E6641}"/>
            </a:ext>
          </a:extLst>
        </xdr:cNvPr>
        <xdr:cNvSpPr txBox="1"/>
      </xdr:nvSpPr>
      <xdr:spPr>
        <a:xfrm>
          <a:off x="19335750" y="5293179"/>
          <a:ext cx="4125249" cy="6342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C07338D1-77DF-4251-8457-BB42AEA5B5CB}"/>
            </a:ext>
          </a:extLst>
        </xdr:cNvPr>
        <xdr:cNvSpPr txBox="1"/>
      </xdr:nvSpPr>
      <xdr:spPr>
        <a:xfrm>
          <a:off x="286871" y="1066800"/>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676275</xdr:colOff>
      <xdr:row>20</xdr:row>
      <xdr:rowOff>0</xdr:rowOff>
    </xdr:from>
    <xdr:to>
      <xdr:col>16</xdr:col>
      <xdr:colOff>2651</xdr:colOff>
      <xdr:row>23</xdr:row>
      <xdr:rowOff>125700</xdr:rowOff>
    </xdr:to>
    <xdr:cxnSp macro="">
      <xdr:nvCxnSpPr>
        <xdr:cNvPr id="2" name="Straight Arrow Connector 5">
          <a:extLst>
            <a:ext uri="{FF2B5EF4-FFF2-40B4-BE49-F238E27FC236}">
              <a16:creationId xmlns:a16="http://schemas.microsoft.com/office/drawing/2014/main" id="{F1914785-8B89-4026-8598-1C89E85E9423}"/>
            </a:ext>
          </a:extLst>
        </xdr:cNvPr>
        <xdr:cNvCxnSpPr/>
      </xdr:nvCxnSpPr>
      <xdr:spPr>
        <a:xfrm flipH="1" flipV="1">
          <a:off x="16913225" y="4962525"/>
          <a:ext cx="1186926" cy="6654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xdr:row>
      <xdr:rowOff>152400</xdr:rowOff>
    </xdr:from>
    <xdr:to>
      <xdr:col>14</xdr:col>
      <xdr:colOff>121064</xdr:colOff>
      <xdr:row>19</xdr:row>
      <xdr:rowOff>30784</xdr:rowOff>
    </xdr:to>
    <xdr:cxnSp macro="">
      <xdr:nvCxnSpPr>
        <xdr:cNvPr id="4" name="Straight Arrow Connector 2">
          <a:extLst>
            <a:ext uri="{FF2B5EF4-FFF2-40B4-BE49-F238E27FC236}">
              <a16:creationId xmlns:a16="http://schemas.microsoft.com/office/drawing/2014/main" id="{36316D45-6214-4707-8B25-14CA54433EFB}"/>
            </a:ext>
          </a:extLst>
        </xdr:cNvPr>
        <xdr:cNvCxnSpPr/>
      </xdr:nvCxnSpPr>
      <xdr:spPr>
        <a:xfrm>
          <a:off x="16240125" y="2762250"/>
          <a:ext cx="124239" cy="204690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19</xdr:row>
      <xdr:rowOff>86001</xdr:rowOff>
    </xdr:from>
    <xdr:to>
      <xdr:col>14</xdr:col>
      <xdr:colOff>152400</xdr:colOff>
      <xdr:row>19</xdr:row>
      <xdr:rowOff>86001</xdr:rowOff>
    </xdr:to>
    <xdr:cxnSp macro="">
      <xdr:nvCxnSpPr>
        <xdr:cNvPr id="7" name="Straight Arrow Connector 3">
          <a:extLst>
            <a:ext uri="{FF2B5EF4-FFF2-40B4-BE49-F238E27FC236}">
              <a16:creationId xmlns:a16="http://schemas.microsoft.com/office/drawing/2014/main" id="{9B1D4164-3BFE-41F1-B9E7-3126D9030DAD}"/>
            </a:ext>
          </a:extLst>
        </xdr:cNvPr>
        <xdr:cNvCxnSpPr/>
      </xdr:nvCxnSpPr>
      <xdr:spPr>
        <a:xfrm>
          <a:off x="16240125" y="4864376"/>
          <a:ext cx="15240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303774</xdr:colOff>
      <xdr:row>23</xdr:row>
      <xdr:rowOff>133153</xdr:rowOff>
    </xdr:from>
    <xdr:to>
      <xdr:col>16</xdr:col>
      <xdr:colOff>914401</xdr:colOff>
      <xdr:row>27</xdr:row>
      <xdr:rowOff>55426</xdr:rowOff>
    </xdr:to>
    <xdr:sp macro="" textlink="">
      <xdr:nvSpPr>
        <xdr:cNvPr id="12" name="TextBox 9">
          <a:extLst>
            <a:ext uri="{FF2B5EF4-FFF2-40B4-BE49-F238E27FC236}">
              <a16:creationId xmlns:a16="http://schemas.microsoft.com/office/drawing/2014/main" id="{3DB9718B-AC5C-497B-AFC1-E91B374D993B}"/>
            </a:ext>
          </a:extLst>
        </xdr:cNvPr>
        <xdr:cNvSpPr txBox="1"/>
      </xdr:nvSpPr>
      <xdr:spPr>
        <a:xfrm>
          <a:off x="16543899" y="5638603"/>
          <a:ext cx="2468002" cy="6461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482600</xdr:colOff>
      <xdr:row>2</xdr:row>
      <xdr:rowOff>152400</xdr:rowOff>
    </xdr:from>
    <xdr:to>
      <xdr:col>16</xdr:col>
      <xdr:colOff>493459</xdr:colOff>
      <xdr:row>4</xdr:row>
      <xdr:rowOff>304800</xdr:rowOff>
    </xdr:to>
    <xdr:cxnSp macro="">
      <xdr:nvCxnSpPr>
        <xdr:cNvPr id="13" name="Straight Arrow Connector 12">
          <a:extLst>
            <a:ext uri="{FF2B5EF4-FFF2-40B4-BE49-F238E27FC236}">
              <a16:creationId xmlns:a16="http://schemas.microsoft.com/office/drawing/2014/main" id="{C6E71F59-4403-4BD5-93B5-09A86BBCE230}"/>
            </a:ext>
          </a:extLst>
        </xdr:cNvPr>
        <xdr:cNvCxnSpPr>
          <a:cxnSpLocks/>
        </xdr:cNvCxnSpPr>
      </xdr:nvCxnSpPr>
      <xdr:spPr>
        <a:xfrm>
          <a:off x="17760950" y="80962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523875</xdr:colOff>
      <xdr:row>1</xdr:row>
      <xdr:rowOff>57150</xdr:rowOff>
    </xdr:from>
    <xdr:to>
      <xdr:col>14</xdr:col>
      <xdr:colOff>552450</xdr:colOff>
      <xdr:row>4</xdr:row>
      <xdr:rowOff>504825</xdr:rowOff>
    </xdr:to>
    <xdr:cxnSp macro="">
      <xdr:nvCxnSpPr>
        <xdr:cNvPr id="14" name="Straight Arrow Connector 20">
          <a:extLst>
            <a:ext uri="{FF2B5EF4-FFF2-40B4-BE49-F238E27FC236}">
              <a16:creationId xmlns:a16="http://schemas.microsoft.com/office/drawing/2014/main" id="{95E1E2EE-1D7E-407F-851A-5354F96F1CB7}"/>
            </a:ext>
          </a:extLst>
        </xdr:cNvPr>
        <xdr:cNvCxnSpPr>
          <a:cxnSpLocks/>
        </xdr:cNvCxnSpPr>
      </xdr:nvCxnSpPr>
      <xdr:spPr>
        <a:xfrm flipH="1">
          <a:off x="15760700" y="457200"/>
          <a:ext cx="1031875" cy="1092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514350</xdr:colOff>
      <xdr:row>0</xdr:row>
      <xdr:rowOff>142875</xdr:rowOff>
    </xdr:from>
    <xdr:to>
      <xdr:col>19</xdr:col>
      <xdr:colOff>561975</xdr:colOff>
      <xdr:row>2</xdr:row>
      <xdr:rowOff>149859</xdr:rowOff>
    </xdr:to>
    <xdr:sp macro="" textlink="">
      <xdr:nvSpPr>
        <xdr:cNvPr id="15" name="TextBox 8">
          <a:extLst>
            <a:ext uri="{FF2B5EF4-FFF2-40B4-BE49-F238E27FC236}">
              <a16:creationId xmlns:a16="http://schemas.microsoft.com/office/drawing/2014/main" id="{C909F099-3F9A-4ADB-B183-472BF7EF8029}"/>
            </a:ext>
          </a:extLst>
        </xdr:cNvPr>
        <xdr:cNvSpPr txBox="1"/>
      </xdr:nvSpPr>
      <xdr:spPr>
        <a:xfrm>
          <a:off x="16754475" y="142875"/>
          <a:ext cx="5895975"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18</xdr:col>
      <xdr:colOff>1037319</xdr:colOff>
      <xdr:row>24</xdr:row>
      <xdr:rowOff>68035</xdr:rowOff>
    </xdr:from>
    <xdr:to>
      <xdr:col>19</xdr:col>
      <xdr:colOff>299358</xdr:colOff>
      <xdr:row>25</xdr:row>
      <xdr:rowOff>105682</xdr:rowOff>
    </xdr:to>
    <xdr:cxnSp macro="">
      <xdr:nvCxnSpPr>
        <xdr:cNvPr id="7" name="Straight Arrow Connector 5">
          <a:extLst>
            <a:ext uri="{FF2B5EF4-FFF2-40B4-BE49-F238E27FC236}">
              <a16:creationId xmlns:a16="http://schemas.microsoft.com/office/drawing/2014/main" id="{60A67070-FED0-4062-9EB0-79DE3615838D}"/>
            </a:ext>
          </a:extLst>
        </xdr:cNvPr>
        <xdr:cNvCxnSpPr/>
      </xdr:nvCxnSpPr>
      <xdr:spPr>
        <a:xfrm flipH="1">
          <a:off x="19243676" y="5946321"/>
          <a:ext cx="718003" cy="21454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184838</xdr:colOff>
      <xdr:row>24</xdr:row>
      <xdr:rowOff>69053</xdr:rowOff>
    </xdr:from>
    <xdr:to>
      <xdr:col>21</xdr:col>
      <xdr:colOff>541111</xdr:colOff>
      <xdr:row>25</xdr:row>
      <xdr:rowOff>149678</xdr:rowOff>
    </xdr:to>
    <xdr:cxnSp macro="">
      <xdr:nvCxnSpPr>
        <xdr:cNvPr id="8" name="Straight Arrow Connector 5">
          <a:extLst>
            <a:ext uri="{FF2B5EF4-FFF2-40B4-BE49-F238E27FC236}">
              <a16:creationId xmlns:a16="http://schemas.microsoft.com/office/drawing/2014/main" id="{108F948A-30B5-4517-8F06-FD7C91F8F981}"/>
            </a:ext>
          </a:extLst>
        </xdr:cNvPr>
        <xdr:cNvCxnSpPr>
          <a:cxnSpLocks/>
          <a:stCxn id="4" idx="2"/>
        </xdr:cNvCxnSpPr>
      </xdr:nvCxnSpPr>
      <xdr:spPr>
        <a:xfrm>
          <a:off x="21303124" y="5947339"/>
          <a:ext cx="1485666" cy="25751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460827</xdr:colOff>
      <xdr:row>17</xdr:row>
      <xdr:rowOff>97066</xdr:rowOff>
    </xdr:from>
    <xdr:to>
      <xdr:col>21</xdr:col>
      <xdr:colOff>369206</xdr:colOff>
      <xdr:row>20</xdr:row>
      <xdr:rowOff>43997</xdr:rowOff>
    </xdr:to>
    <xdr:sp macro="" textlink="">
      <xdr:nvSpPr>
        <xdr:cNvPr id="25" name="TextBox 10">
          <a:extLst>
            <a:ext uri="{FF2B5EF4-FFF2-40B4-BE49-F238E27FC236}">
              <a16:creationId xmlns:a16="http://schemas.microsoft.com/office/drawing/2014/main" id="{69B6CCE8-083D-411F-AD32-927D8254CD29}"/>
            </a:ext>
          </a:extLst>
        </xdr:cNvPr>
        <xdr:cNvSpPr txBox="1"/>
      </xdr:nvSpPr>
      <xdr:spPr>
        <a:xfrm>
          <a:off x="17973220" y="4546602"/>
          <a:ext cx="3949700" cy="477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40822</xdr:colOff>
      <xdr:row>18</xdr:row>
      <xdr:rowOff>160565</xdr:rowOff>
    </xdr:from>
    <xdr:to>
      <xdr:col>18</xdr:col>
      <xdr:colOff>464002</xdr:colOff>
      <xdr:row>19</xdr:row>
      <xdr:rowOff>54429</xdr:rowOff>
    </xdr:to>
    <xdr:cxnSp macro="">
      <xdr:nvCxnSpPr>
        <xdr:cNvPr id="19" name="Straight Arrow Connector 5">
          <a:extLst>
            <a:ext uri="{FF2B5EF4-FFF2-40B4-BE49-F238E27FC236}">
              <a16:creationId xmlns:a16="http://schemas.microsoft.com/office/drawing/2014/main" id="{A255F9DA-A314-4D6F-8C95-5F7561E73EC3}"/>
            </a:ext>
          </a:extLst>
        </xdr:cNvPr>
        <xdr:cNvCxnSpPr>
          <a:stCxn id="25" idx="1"/>
        </xdr:cNvCxnSpPr>
      </xdr:nvCxnSpPr>
      <xdr:spPr>
        <a:xfrm flipH="1">
          <a:off x="18247179" y="4786994"/>
          <a:ext cx="423180" cy="7075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1034142</xdr:colOff>
      <xdr:row>20</xdr:row>
      <xdr:rowOff>136072</xdr:rowOff>
    </xdr:from>
    <xdr:to>
      <xdr:col>21</xdr:col>
      <xdr:colOff>1118069</xdr:colOff>
      <xdr:row>24</xdr:row>
      <xdr:rowOff>65878</xdr:rowOff>
    </xdr:to>
    <xdr:sp macro="" textlink="">
      <xdr:nvSpPr>
        <xdr:cNvPr id="4" name="TextBox 27">
          <a:extLst>
            <a:ext uri="{FF2B5EF4-FFF2-40B4-BE49-F238E27FC236}">
              <a16:creationId xmlns:a16="http://schemas.microsoft.com/office/drawing/2014/main" id="{C8B36640-6A32-4129-9044-5C06CD9191E5}"/>
            </a:ext>
          </a:extLst>
        </xdr:cNvPr>
        <xdr:cNvSpPr txBox="1"/>
      </xdr:nvSpPr>
      <xdr:spPr>
        <a:xfrm>
          <a:off x="19240499" y="5306786"/>
          <a:ext cx="4125249"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8" name="TextBox 17">
          <a:extLst>
            <a:ext uri="{FF2B5EF4-FFF2-40B4-BE49-F238E27FC236}">
              <a16:creationId xmlns:a16="http://schemas.microsoft.com/office/drawing/2014/main" id="{D4DA468C-5A5A-4A8D-A010-60E02DC85CD1}"/>
            </a:ext>
          </a:extLst>
        </xdr:cNvPr>
        <xdr:cNvSpPr txBox="1"/>
      </xdr:nvSpPr>
      <xdr:spPr>
        <a:xfrm>
          <a:off x="286871" y="1129553"/>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981075</xdr:colOff>
      <xdr:row>20</xdr:row>
      <xdr:rowOff>19050</xdr:rowOff>
    </xdr:from>
    <xdr:to>
      <xdr:col>15</xdr:col>
      <xdr:colOff>284616</xdr:colOff>
      <xdr:row>23</xdr:row>
      <xdr:rowOff>908</xdr:rowOff>
    </xdr:to>
    <xdr:cxnSp macro="">
      <xdr:nvCxnSpPr>
        <xdr:cNvPr id="2" name="Straight Arrow Connector 5">
          <a:extLst>
            <a:ext uri="{FF2B5EF4-FFF2-40B4-BE49-F238E27FC236}">
              <a16:creationId xmlns:a16="http://schemas.microsoft.com/office/drawing/2014/main" id="{480E58DE-06A4-4C62-8E31-8F88181B468C}"/>
            </a:ext>
          </a:extLst>
        </xdr:cNvPr>
        <xdr:cNvCxnSpPr>
          <a:stCxn id="13" idx="0"/>
        </xdr:cNvCxnSpPr>
      </xdr:nvCxnSpPr>
      <xdr:spPr>
        <a:xfrm flipH="1" flipV="1">
          <a:off x="17218025" y="4981575"/>
          <a:ext cx="735466" cy="5247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xdr:row>
      <xdr:rowOff>82550</xdr:rowOff>
    </xdr:from>
    <xdr:to>
      <xdr:col>14</xdr:col>
      <xdr:colOff>247650</xdr:colOff>
      <xdr:row>19</xdr:row>
      <xdr:rowOff>19050</xdr:rowOff>
    </xdr:to>
    <xdr:cxnSp macro="">
      <xdr:nvCxnSpPr>
        <xdr:cNvPr id="6" name="Straight Arrow Connector 5">
          <a:extLst>
            <a:ext uri="{FF2B5EF4-FFF2-40B4-BE49-F238E27FC236}">
              <a16:creationId xmlns:a16="http://schemas.microsoft.com/office/drawing/2014/main" id="{2DCF6692-A2C9-45F9-B875-9C9496F40810}"/>
            </a:ext>
          </a:extLst>
        </xdr:cNvPr>
        <xdr:cNvCxnSpPr/>
      </xdr:nvCxnSpPr>
      <xdr:spPr>
        <a:xfrm>
          <a:off x="16265525" y="2695575"/>
          <a:ext cx="222250" cy="210502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15875</xdr:colOff>
      <xdr:row>19</xdr:row>
      <xdr:rowOff>85725</xdr:rowOff>
    </xdr:from>
    <xdr:to>
      <xdr:col>14</xdr:col>
      <xdr:colOff>152400</xdr:colOff>
      <xdr:row>19</xdr:row>
      <xdr:rowOff>88155</xdr:rowOff>
    </xdr:to>
    <xdr:cxnSp macro="">
      <xdr:nvCxnSpPr>
        <xdr:cNvPr id="10" name="Straight Arrow Connector 9">
          <a:extLst>
            <a:ext uri="{FF2B5EF4-FFF2-40B4-BE49-F238E27FC236}">
              <a16:creationId xmlns:a16="http://schemas.microsoft.com/office/drawing/2014/main" id="{FBE6A15B-10D3-44AC-9CDC-854E7A418786}"/>
            </a:ext>
          </a:extLst>
        </xdr:cNvPr>
        <xdr:cNvCxnSpPr/>
      </xdr:nvCxnSpPr>
      <xdr:spPr>
        <a:xfrm flipV="1">
          <a:off x="16256000" y="4864100"/>
          <a:ext cx="136525" cy="243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438150</xdr:colOff>
      <xdr:row>1</xdr:row>
      <xdr:rowOff>43182</xdr:rowOff>
    </xdr:from>
    <xdr:to>
      <xdr:col>14</xdr:col>
      <xdr:colOff>476250</xdr:colOff>
      <xdr:row>4</xdr:row>
      <xdr:rowOff>361950</xdr:rowOff>
    </xdr:to>
    <xdr:cxnSp macro="">
      <xdr:nvCxnSpPr>
        <xdr:cNvPr id="11" name="Straight Arrow Connector 20">
          <a:extLst>
            <a:ext uri="{FF2B5EF4-FFF2-40B4-BE49-F238E27FC236}">
              <a16:creationId xmlns:a16="http://schemas.microsoft.com/office/drawing/2014/main" id="{11730AF0-8410-4B97-837C-9885CEAF8D30}"/>
            </a:ext>
          </a:extLst>
        </xdr:cNvPr>
        <xdr:cNvCxnSpPr>
          <a:cxnSpLocks/>
        </xdr:cNvCxnSpPr>
      </xdr:nvCxnSpPr>
      <xdr:spPr>
        <a:xfrm flipH="1">
          <a:off x="15678150" y="446407"/>
          <a:ext cx="1038225" cy="96329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610506</xdr:colOff>
      <xdr:row>22</xdr:row>
      <xdr:rowOff>178708</xdr:rowOff>
    </xdr:from>
    <xdr:to>
      <xdr:col>16</xdr:col>
      <xdr:colOff>828675</xdr:colOff>
      <xdr:row>26</xdr:row>
      <xdr:rowOff>73025</xdr:rowOff>
    </xdr:to>
    <xdr:sp macro="" textlink="">
      <xdr:nvSpPr>
        <xdr:cNvPr id="13" name="TextBox 12">
          <a:extLst>
            <a:ext uri="{FF2B5EF4-FFF2-40B4-BE49-F238E27FC236}">
              <a16:creationId xmlns:a16="http://schemas.microsoft.com/office/drawing/2014/main" id="{A0771E1D-71ED-447A-9C34-C443782F02C6}"/>
            </a:ext>
          </a:extLst>
        </xdr:cNvPr>
        <xdr:cNvSpPr txBox="1"/>
      </xdr:nvSpPr>
      <xdr:spPr>
        <a:xfrm>
          <a:off x="16850631" y="5506358"/>
          <a:ext cx="2205719" cy="61504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492125</xdr:colOff>
      <xdr:row>2</xdr:row>
      <xdr:rowOff>171450</xdr:rowOff>
    </xdr:from>
    <xdr:to>
      <xdr:col>16</xdr:col>
      <xdr:colOff>502984</xdr:colOff>
      <xdr:row>4</xdr:row>
      <xdr:rowOff>323850</xdr:rowOff>
    </xdr:to>
    <xdr:cxnSp macro="">
      <xdr:nvCxnSpPr>
        <xdr:cNvPr id="15" name="Straight Arrow Connector 14">
          <a:extLst>
            <a:ext uri="{FF2B5EF4-FFF2-40B4-BE49-F238E27FC236}">
              <a16:creationId xmlns:a16="http://schemas.microsoft.com/office/drawing/2014/main" id="{5FED7A85-5365-4E54-8703-13E466296346}"/>
            </a:ext>
          </a:extLst>
        </xdr:cNvPr>
        <xdr:cNvCxnSpPr>
          <a:cxnSpLocks/>
        </xdr:cNvCxnSpPr>
      </xdr:nvCxnSpPr>
      <xdr:spPr>
        <a:xfrm>
          <a:off x="17894300" y="82867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444500</xdr:colOff>
      <xdr:row>0</xdr:row>
      <xdr:rowOff>149225</xdr:rowOff>
    </xdr:from>
    <xdr:to>
      <xdr:col>19</xdr:col>
      <xdr:colOff>361950</xdr:colOff>
      <xdr:row>2</xdr:row>
      <xdr:rowOff>162559</xdr:rowOff>
    </xdr:to>
    <xdr:sp macro="" textlink="">
      <xdr:nvSpPr>
        <xdr:cNvPr id="21" name="TextBox 8">
          <a:extLst>
            <a:ext uri="{FF2B5EF4-FFF2-40B4-BE49-F238E27FC236}">
              <a16:creationId xmlns:a16="http://schemas.microsoft.com/office/drawing/2014/main" id="{3F4B6433-AFB0-4465-BF83-04BE0AE954FE}"/>
            </a:ext>
          </a:extLst>
        </xdr:cNvPr>
        <xdr:cNvSpPr txBox="1"/>
      </xdr:nvSpPr>
      <xdr:spPr>
        <a:xfrm>
          <a:off x="16684625" y="149225"/>
          <a:ext cx="5899150" cy="67055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1040495</xdr:colOff>
      <xdr:row>24</xdr:row>
      <xdr:rowOff>149678</xdr:rowOff>
    </xdr:from>
    <xdr:to>
      <xdr:col>19</xdr:col>
      <xdr:colOff>353786</xdr:colOff>
      <xdr:row>25</xdr:row>
      <xdr:rowOff>143329</xdr:rowOff>
    </xdr:to>
    <xdr:cxnSp macro="">
      <xdr:nvCxnSpPr>
        <xdr:cNvPr id="10" name="Straight Arrow Connector 5">
          <a:extLst>
            <a:ext uri="{FF2B5EF4-FFF2-40B4-BE49-F238E27FC236}">
              <a16:creationId xmlns:a16="http://schemas.microsoft.com/office/drawing/2014/main" id="{A42B8C5C-6DDC-4B57-8852-285856F1786B}"/>
            </a:ext>
          </a:extLst>
        </xdr:cNvPr>
        <xdr:cNvCxnSpPr/>
      </xdr:nvCxnSpPr>
      <xdr:spPr>
        <a:xfrm flipH="1">
          <a:off x="19042745" y="6803571"/>
          <a:ext cx="769255" cy="170544"/>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438603</xdr:colOff>
      <xdr:row>17</xdr:row>
      <xdr:rowOff>166462</xdr:rowOff>
    </xdr:from>
    <xdr:to>
      <xdr:col>21</xdr:col>
      <xdr:colOff>350610</xdr:colOff>
      <xdr:row>20</xdr:row>
      <xdr:rowOff>125640</xdr:rowOff>
    </xdr:to>
    <xdr:sp macro="" textlink="">
      <xdr:nvSpPr>
        <xdr:cNvPr id="25" name="TextBox 10">
          <a:extLst>
            <a:ext uri="{FF2B5EF4-FFF2-40B4-BE49-F238E27FC236}">
              <a16:creationId xmlns:a16="http://schemas.microsoft.com/office/drawing/2014/main" id="{5C94A5C9-D610-445E-8D8F-D79AEE221CB2}"/>
            </a:ext>
          </a:extLst>
        </xdr:cNvPr>
        <xdr:cNvSpPr txBox="1"/>
      </xdr:nvSpPr>
      <xdr:spPr>
        <a:xfrm>
          <a:off x="18454460" y="5010605"/>
          <a:ext cx="3953329"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27214</xdr:colOff>
      <xdr:row>19</xdr:row>
      <xdr:rowOff>54429</xdr:rowOff>
    </xdr:from>
    <xdr:to>
      <xdr:col>18</xdr:col>
      <xdr:colOff>438603</xdr:colOff>
      <xdr:row>19</xdr:row>
      <xdr:rowOff>68035</xdr:rowOff>
    </xdr:to>
    <xdr:cxnSp macro="">
      <xdr:nvCxnSpPr>
        <xdr:cNvPr id="35" name="Straight Arrow Connector 5">
          <a:extLst>
            <a:ext uri="{FF2B5EF4-FFF2-40B4-BE49-F238E27FC236}">
              <a16:creationId xmlns:a16="http://schemas.microsoft.com/office/drawing/2014/main" id="{93C4C63D-7232-419C-9BC9-89EFFD97F974}"/>
            </a:ext>
          </a:extLst>
        </xdr:cNvPr>
        <xdr:cNvCxnSpPr>
          <a:stCxn id="25" idx="1"/>
        </xdr:cNvCxnSpPr>
      </xdr:nvCxnSpPr>
      <xdr:spPr>
        <a:xfrm flipH="1">
          <a:off x="18029464" y="5252358"/>
          <a:ext cx="411389" cy="1360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208878</xdr:colOff>
      <xdr:row>24</xdr:row>
      <xdr:rowOff>144345</xdr:rowOff>
    </xdr:from>
    <xdr:to>
      <xdr:col>21</xdr:col>
      <xdr:colOff>857250</xdr:colOff>
      <xdr:row>25</xdr:row>
      <xdr:rowOff>160110</xdr:rowOff>
    </xdr:to>
    <xdr:cxnSp macro="">
      <xdr:nvCxnSpPr>
        <xdr:cNvPr id="8" name="Straight Arrow Connector 5">
          <a:extLst>
            <a:ext uri="{FF2B5EF4-FFF2-40B4-BE49-F238E27FC236}">
              <a16:creationId xmlns:a16="http://schemas.microsoft.com/office/drawing/2014/main" id="{476BCF79-8559-4B71-8C90-CC36A77691ED}"/>
            </a:ext>
          </a:extLst>
        </xdr:cNvPr>
        <xdr:cNvCxnSpPr>
          <a:cxnSpLocks/>
          <a:stCxn id="7" idx="2"/>
        </xdr:cNvCxnSpPr>
      </xdr:nvCxnSpPr>
      <xdr:spPr>
        <a:xfrm>
          <a:off x="21123057" y="6798238"/>
          <a:ext cx="1777764" cy="19265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1058182</xdr:colOff>
      <xdr:row>21</xdr:row>
      <xdr:rowOff>40821</xdr:rowOff>
    </xdr:from>
    <xdr:to>
      <xdr:col>21</xdr:col>
      <xdr:colOff>1145285</xdr:colOff>
      <xdr:row>24</xdr:row>
      <xdr:rowOff>147520</xdr:rowOff>
    </xdr:to>
    <xdr:sp macro="" textlink="">
      <xdr:nvSpPr>
        <xdr:cNvPr id="7" name="TextBox 27">
          <a:extLst>
            <a:ext uri="{FF2B5EF4-FFF2-40B4-BE49-F238E27FC236}">
              <a16:creationId xmlns:a16="http://schemas.microsoft.com/office/drawing/2014/main" id="{F7504D8D-631A-458E-9C9B-EAD92548C5B5}"/>
            </a:ext>
          </a:extLst>
        </xdr:cNvPr>
        <xdr:cNvSpPr txBox="1"/>
      </xdr:nvSpPr>
      <xdr:spPr>
        <a:xfrm>
          <a:off x="19060432" y="6164035"/>
          <a:ext cx="4128424"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7" name="TextBox 17">
          <a:extLst>
            <a:ext uri="{FF2B5EF4-FFF2-40B4-BE49-F238E27FC236}">
              <a16:creationId xmlns:a16="http://schemas.microsoft.com/office/drawing/2014/main" id="{10D48774-C392-43B2-BA0E-6486B0E7172A}"/>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638175</xdr:colOff>
      <xdr:row>20</xdr:row>
      <xdr:rowOff>28575</xdr:rowOff>
    </xdr:from>
    <xdr:to>
      <xdr:col>15</xdr:col>
      <xdr:colOff>81689</xdr:colOff>
      <xdr:row>23</xdr:row>
      <xdr:rowOff>158842</xdr:rowOff>
    </xdr:to>
    <xdr:cxnSp macro="">
      <xdr:nvCxnSpPr>
        <xdr:cNvPr id="2" name="Straight Arrow Connector 1">
          <a:extLst>
            <a:ext uri="{FF2B5EF4-FFF2-40B4-BE49-F238E27FC236}">
              <a16:creationId xmlns:a16="http://schemas.microsoft.com/office/drawing/2014/main" id="{63CFBD71-9565-4EED-8B98-DF2F2815FEF4}"/>
            </a:ext>
          </a:extLst>
        </xdr:cNvPr>
        <xdr:cNvCxnSpPr>
          <a:stCxn id="11" idx="0"/>
        </xdr:cNvCxnSpPr>
      </xdr:nvCxnSpPr>
      <xdr:spPr>
        <a:xfrm flipH="1" flipV="1">
          <a:off x="16875125" y="4987925"/>
          <a:ext cx="697639" cy="67954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xdr:row>
      <xdr:rowOff>123825</xdr:rowOff>
    </xdr:from>
    <xdr:to>
      <xdr:col>14</xdr:col>
      <xdr:colOff>210912</xdr:colOff>
      <xdr:row>19</xdr:row>
      <xdr:rowOff>36739</xdr:rowOff>
    </xdr:to>
    <xdr:cxnSp macro="">
      <xdr:nvCxnSpPr>
        <xdr:cNvPr id="4" name="Straight Arrow Connector 3">
          <a:extLst>
            <a:ext uri="{FF2B5EF4-FFF2-40B4-BE49-F238E27FC236}">
              <a16:creationId xmlns:a16="http://schemas.microsoft.com/office/drawing/2014/main" id="{ECE8BB64-8EA1-4C87-A88B-044D0F88239B}"/>
            </a:ext>
          </a:extLst>
        </xdr:cNvPr>
        <xdr:cNvCxnSpPr/>
      </xdr:nvCxnSpPr>
      <xdr:spPr>
        <a:xfrm>
          <a:off x="16240125" y="2730500"/>
          <a:ext cx="210912" cy="208778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7257</xdr:colOff>
      <xdr:row>19</xdr:row>
      <xdr:rowOff>84818</xdr:rowOff>
    </xdr:from>
    <xdr:to>
      <xdr:col>14</xdr:col>
      <xdr:colOff>152400</xdr:colOff>
      <xdr:row>19</xdr:row>
      <xdr:rowOff>84818</xdr:rowOff>
    </xdr:to>
    <xdr:cxnSp macro="">
      <xdr:nvCxnSpPr>
        <xdr:cNvPr id="5" name="Straight Arrow Connector 4">
          <a:extLst>
            <a:ext uri="{FF2B5EF4-FFF2-40B4-BE49-F238E27FC236}">
              <a16:creationId xmlns:a16="http://schemas.microsoft.com/office/drawing/2014/main" id="{4B3CE7FD-F316-4E3B-A272-527A8069F06C}"/>
            </a:ext>
          </a:extLst>
        </xdr:cNvPr>
        <xdr:cNvCxnSpPr/>
      </xdr:nvCxnSpPr>
      <xdr:spPr>
        <a:xfrm>
          <a:off x="16250557" y="4869543"/>
          <a:ext cx="141968"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485775</xdr:colOff>
      <xdr:row>1</xdr:row>
      <xdr:rowOff>79694</xdr:rowOff>
    </xdr:from>
    <xdr:to>
      <xdr:col>14</xdr:col>
      <xdr:colOff>590550</xdr:colOff>
      <xdr:row>4</xdr:row>
      <xdr:rowOff>514350</xdr:rowOff>
    </xdr:to>
    <xdr:cxnSp macro="">
      <xdr:nvCxnSpPr>
        <xdr:cNvPr id="6" name="Straight Arrow Connector 20">
          <a:extLst>
            <a:ext uri="{FF2B5EF4-FFF2-40B4-BE49-F238E27FC236}">
              <a16:creationId xmlns:a16="http://schemas.microsoft.com/office/drawing/2014/main" id="{4A8F82B5-D725-42C1-9EF0-97EF9A39B992}"/>
            </a:ext>
          </a:extLst>
        </xdr:cNvPr>
        <xdr:cNvCxnSpPr>
          <a:cxnSpLocks/>
        </xdr:cNvCxnSpPr>
      </xdr:nvCxnSpPr>
      <xdr:spPr>
        <a:xfrm flipH="1">
          <a:off x="15722600" y="482919"/>
          <a:ext cx="1108075" cy="107918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239577</xdr:colOff>
      <xdr:row>23</xdr:row>
      <xdr:rowOff>158842</xdr:rowOff>
    </xdr:from>
    <xdr:to>
      <xdr:col>16</xdr:col>
      <xdr:colOff>523875</xdr:colOff>
      <xdr:row>27</xdr:row>
      <xdr:rowOff>87992</xdr:rowOff>
    </xdr:to>
    <xdr:sp macro="" textlink="">
      <xdr:nvSpPr>
        <xdr:cNvPr id="11" name="TextBox 9">
          <a:extLst>
            <a:ext uri="{FF2B5EF4-FFF2-40B4-BE49-F238E27FC236}">
              <a16:creationId xmlns:a16="http://schemas.microsoft.com/office/drawing/2014/main" id="{5C075DCA-271F-40EF-9F5C-18879263D695}"/>
            </a:ext>
          </a:extLst>
        </xdr:cNvPr>
        <xdr:cNvSpPr txBox="1"/>
      </xdr:nvSpPr>
      <xdr:spPr>
        <a:xfrm>
          <a:off x="16476527" y="5667467"/>
          <a:ext cx="2179773" cy="64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511175</xdr:colOff>
      <xdr:row>2</xdr:row>
      <xdr:rowOff>171450</xdr:rowOff>
    </xdr:from>
    <xdr:to>
      <xdr:col>16</xdr:col>
      <xdr:colOff>522034</xdr:colOff>
      <xdr:row>4</xdr:row>
      <xdr:rowOff>323850</xdr:rowOff>
    </xdr:to>
    <xdr:cxnSp macro="">
      <xdr:nvCxnSpPr>
        <xdr:cNvPr id="13" name="Straight Arrow Connector 20">
          <a:extLst>
            <a:ext uri="{FF2B5EF4-FFF2-40B4-BE49-F238E27FC236}">
              <a16:creationId xmlns:a16="http://schemas.microsoft.com/office/drawing/2014/main" id="{095BDBB9-63F8-47BF-A626-2FE34EBA6207}"/>
            </a:ext>
          </a:extLst>
        </xdr:cNvPr>
        <xdr:cNvCxnSpPr>
          <a:cxnSpLocks/>
        </xdr:cNvCxnSpPr>
      </xdr:nvCxnSpPr>
      <xdr:spPr>
        <a:xfrm>
          <a:off x="17827625" y="82867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533399</xdr:colOff>
      <xdr:row>0</xdr:row>
      <xdr:rowOff>152400</xdr:rowOff>
    </xdr:from>
    <xdr:to>
      <xdr:col>19</xdr:col>
      <xdr:colOff>542924</xdr:colOff>
      <xdr:row>2</xdr:row>
      <xdr:rowOff>162559</xdr:rowOff>
    </xdr:to>
    <xdr:sp macro="" textlink="">
      <xdr:nvSpPr>
        <xdr:cNvPr id="14" name="TextBox 8">
          <a:extLst>
            <a:ext uri="{FF2B5EF4-FFF2-40B4-BE49-F238E27FC236}">
              <a16:creationId xmlns:a16="http://schemas.microsoft.com/office/drawing/2014/main" id="{EA9B6294-18EC-4063-8BBA-837F105F9C33}"/>
            </a:ext>
          </a:extLst>
        </xdr:cNvPr>
        <xdr:cNvSpPr txBox="1"/>
      </xdr:nvSpPr>
      <xdr:spPr>
        <a:xfrm>
          <a:off x="16773524" y="152400"/>
          <a:ext cx="5895975" cy="6673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18</xdr:col>
      <xdr:colOff>1006930</xdr:colOff>
      <xdr:row>24</xdr:row>
      <xdr:rowOff>112033</xdr:rowOff>
    </xdr:from>
    <xdr:to>
      <xdr:col>19</xdr:col>
      <xdr:colOff>530679</xdr:colOff>
      <xdr:row>25</xdr:row>
      <xdr:rowOff>146505</xdr:rowOff>
    </xdr:to>
    <xdr:cxnSp macro="">
      <xdr:nvCxnSpPr>
        <xdr:cNvPr id="23" name="Straight Arrow Connector 5">
          <a:extLst>
            <a:ext uri="{FF2B5EF4-FFF2-40B4-BE49-F238E27FC236}">
              <a16:creationId xmlns:a16="http://schemas.microsoft.com/office/drawing/2014/main" id="{B51FA11B-07F9-460F-8018-FDF6CBBC0BB1}"/>
            </a:ext>
          </a:extLst>
        </xdr:cNvPr>
        <xdr:cNvCxnSpPr/>
      </xdr:nvCxnSpPr>
      <xdr:spPr>
        <a:xfrm flipH="1">
          <a:off x="18913930" y="5772604"/>
          <a:ext cx="979713" cy="21136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550645</xdr:colOff>
      <xdr:row>24</xdr:row>
      <xdr:rowOff>113957</xdr:rowOff>
    </xdr:from>
    <xdr:to>
      <xdr:col>21</xdr:col>
      <xdr:colOff>609600</xdr:colOff>
      <xdr:row>25</xdr:row>
      <xdr:rowOff>180975</xdr:rowOff>
    </xdr:to>
    <xdr:cxnSp macro="">
      <xdr:nvCxnSpPr>
        <xdr:cNvPr id="7" name="Straight Arrow Connector 5">
          <a:extLst>
            <a:ext uri="{FF2B5EF4-FFF2-40B4-BE49-F238E27FC236}">
              <a16:creationId xmlns:a16="http://schemas.microsoft.com/office/drawing/2014/main" id="{3361EDE0-9B41-49D7-9F40-16EBB2F7E66C}"/>
            </a:ext>
          </a:extLst>
        </xdr:cNvPr>
        <xdr:cNvCxnSpPr>
          <a:cxnSpLocks/>
          <a:stCxn id="5" idx="2"/>
        </xdr:cNvCxnSpPr>
      </xdr:nvCxnSpPr>
      <xdr:spPr>
        <a:xfrm>
          <a:off x="23143945" y="5971832"/>
          <a:ext cx="1573430" cy="25751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452209</xdr:colOff>
      <xdr:row>17</xdr:row>
      <xdr:rowOff>139249</xdr:rowOff>
    </xdr:from>
    <xdr:to>
      <xdr:col>21</xdr:col>
      <xdr:colOff>370567</xdr:colOff>
      <xdr:row>20</xdr:row>
      <xdr:rowOff>98426</xdr:rowOff>
    </xdr:to>
    <xdr:sp macro="" textlink="">
      <xdr:nvSpPr>
        <xdr:cNvPr id="24" name="TextBox 10">
          <a:extLst>
            <a:ext uri="{FF2B5EF4-FFF2-40B4-BE49-F238E27FC236}">
              <a16:creationId xmlns:a16="http://schemas.microsoft.com/office/drawing/2014/main" id="{1801ACB0-E066-4EFB-AAAE-16AAFB0B79BC}"/>
            </a:ext>
          </a:extLst>
        </xdr:cNvPr>
        <xdr:cNvSpPr txBox="1"/>
      </xdr:nvSpPr>
      <xdr:spPr>
        <a:xfrm>
          <a:off x="18359209" y="4561570"/>
          <a:ext cx="3959679"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0</xdr:colOff>
      <xdr:row>19</xdr:row>
      <xdr:rowOff>33566</xdr:rowOff>
    </xdr:from>
    <xdr:to>
      <xdr:col>18</xdr:col>
      <xdr:colOff>449034</xdr:colOff>
      <xdr:row>19</xdr:row>
      <xdr:rowOff>95250</xdr:rowOff>
    </xdr:to>
    <xdr:cxnSp macro="">
      <xdr:nvCxnSpPr>
        <xdr:cNvPr id="27" name="Straight Arrow Connector 5">
          <a:extLst>
            <a:ext uri="{FF2B5EF4-FFF2-40B4-BE49-F238E27FC236}">
              <a16:creationId xmlns:a16="http://schemas.microsoft.com/office/drawing/2014/main" id="{8B181D14-312F-4789-9BA3-D328D51F14A2}"/>
            </a:ext>
          </a:extLst>
        </xdr:cNvPr>
        <xdr:cNvCxnSpPr>
          <a:stCxn id="24" idx="1"/>
        </xdr:cNvCxnSpPr>
      </xdr:nvCxnSpPr>
      <xdr:spPr>
        <a:xfrm flipH="1">
          <a:off x="17907000" y="4809673"/>
          <a:ext cx="449034" cy="6168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1129393</xdr:colOff>
      <xdr:row>21</xdr:row>
      <xdr:rowOff>13607</xdr:rowOff>
    </xdr:from>
    <xdr:to>
      <xdr:col>21</xdr:col>
      <xdr:colOff>1219671</xdr:colOff>
      <xdr:row>24</xdr:row>
      <xdr:rowOff>113957</xdr:rowOff>
    </xdr:to>
    <xdr:sp macro="" textlink="">
      <xdr:nvSpPr>
        <xdr:cNvPr id="5" name="TextBox 27">
          <a:extLst>
            <a:ext uri="{FF2B5EF4-FFF2-40B4-BE49-F238E27FC236}">
              <a16:creationId xmlns:a16="http://schemas.microsoft.com/office/drawing/2014/main" id="{FCCC0763-C3C3-4C76-83BD-EADACC1189F7}"/>
            </a:ext>
          </a:extLst>
        </xdr:cNvPr>
        <xdr:cNvSpPr txBox="1"/>
      </xdr:nvSpPr>
      <xdr:spPr>
        <a:xfrm>
          <a:off x="19036393" y="5334000"/>
          <a:ext cx="4131599" cy="6310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7" name="TextBox 17">
          <a:extLst>
            <a:ext uri="{FF2B5EF4-FFF2-40B4-BE49-F238E27FC236}">
              <a16:creationId xmlns:a16="http://schemas.microsoft.com/office/drawing/2014/main" id="{D110BD77-031C-44FD-89D8-B2B7D5816B9D}"/>
            </a:ext>
          </a:extLst>
        </xdr:cNvPr>
        <xdr:cNvSpPr txBox="1"/>
      </xdr:nvSpPr>
      <xdr:spPr>
        <a:xfrm>
          <a:off x="286871" y="1093694"/>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981075</xdr:colOff>
      <xdr:row>20</xdr:row>
      <xdr:rowOff>19050</xdr:rowOff>
    </xdr:from>
    <xdr:to>
      <xdr:col>15</xdr:col>
      <xdr:colOff>284616</xdr:colOff>
      <xdr:row>23</xdr:row>
      <xdr:rowOff>908</xdr:rowOff>
    </xdr:to>
    <xdr:cxnSp macro="">
      <xdr:nvCxnSpPr>
        <xdr:cNvPr id="2" name="Straight Arrow Connector 5">
          <a:extLst>
            <a:ext uri="{FF2B5EF4-FFF2-40B4-BE49-F238E27FC236}">
              <a16:creationId xmlns:a16="http://schemas.microsoft.com/office/drawing/2014/main" id="{E31F5545-D417-406E-AE7C-479BAC53059D}"/>
            </a:ext>
          </a:extLst>
        </xdr:cNvPr>
        <xdr:cNvCxnSpPr>
          <a:stCxn id="13" idx="0"/>
        </xdr:cNvCxnSpPr>
      </xdr:nvCxnSpPr>
      <xdr:spPr>
        <a:xfrm flipH="1" flipV="1">
          <a:off x="17218025" y="4981575"/>
          <a:ext cx="735466" cy="5247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xdr:row>
      <xdr:rowOff>82550</xdr:rowOff>
    </xdr:from>
    <xdr:to>
      <xdr:col>14</xdr:col>
      <xdr:colOff>247650</xdr:colOff>
      <xdr:row>19</xdr:row>
      <xdr:rowOff>19050</xdr:rowOff>
    </xdr:to>
    <xdr:cxnSp macro="">
      <xdr:nvCxnSpPr>
        <xdr:cNvPr id="4" name="Straight Arrow Connector 3">
          <a:extLst>
            <a:ext uri="{FF2B5EF4-FFF2-40B4-BE49-F238E27FC236}">
              <a16:creationId xmlns:a16="http://schemas.microsoft.com/office/drawing/2014/main" id="{D6CA74F6-B52E-4E5E-9EA8-FF1528785B8B}"/>
            </a:ext>
          </a:extLst>
        </xdr:cNvPr>
        <xdr:cNvCxnSpPr/>
      </xdr:nvCxnSpPr>
      <xdr:spPr>
        <a:xfrm>
          <a:off x="16265525" y="2695575"/>
          <a:ext cx="222250" cy="210502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15875</xdr:colOff>
      <xdr:row>19</xdr:row>
      <xdr:rowOff>85725</xdr:rowOff>
    </xdr:from>
    <xdr:to>
      <xdr:col>14</xdr:col>
      <xdr:colOff>152400</xdr:colOff>
      <xdr:row>19</xdr:row>
      <xdr:rowOff>88155</xdr:rowOff>
    </xdr:to>
    <xdr:cxnSp macro="">
      <xdr:nvCxnSpPr>
        <xdr:cNvPr id="8" name="Straight Arrow Connector 7">
          <a:extLst>
            <a:ext uri="{FF2B5EF4-FFF2-40B4-BE49-F238E27FC236}">
              <a16:creationId xmlns:a16="http://schemas.microsoft.com/office/drawing/2014/main" id="{76AFCC32-DF66-40AC-BEB7-BA66F1ACB277}"/>
            </a:ext>
          </a:extLst>
        </xdr:cNvPr>
        <xdr:cNvCxnSpPr/>
      </xdr:nvCxnSpPr>
      <xdr:spPr>
        <a:xfrm flipV="1">
          <a:off x="16256000" y="4864100"/>
          <a:ext cx="136525" cy="243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438150</xdr:colOff>
      <xdr:row>1</xdr:row>
      <xdr:rowOff>43182</xdr:rowOff>
    </xdr:from>
    <xdr:to>
      <xdr:col>14</xdr:col>
      <xdr:colOff>476250</xdr:colOff>
      <xdr:row>4</xdr:row>
      <xdr:rowOff>361950</xdr:rowOff>
    </xdr:to>
    <xdr:cxnSp macro="">
      <xdr:nvCxnSpPr>
        <xdr:cNvPr id="10" name="Straight Arrow Connector 20">
          <a:extLst>
            <a:ext uri="{FF2B5EF4-FFF2-40B4-BE49-F238E27FC236}">
              <a16:creationId xmlns:a16="http://schemas.microsoft.com/office/drawing/2014/main" id="{B02D0442-7FD3-43C6-9021-D2F5D5642703}"/>
            </a:ext>
          </a:extLst>
        </xdr:cNvPr>
        <xdr:cNvCxnSpPr>
          <a:cxnSpLocks/>
        </xdr:cNvCxnSpPr>
      </xdr:nvCxnSpPr>
      <xdr:spPr>
        <a:xfrm flipH="1">
          <a:off x="15678150" y="446407"/>
          <a:ext cx="1038225" cy="96329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610506</xdr:colOff>
      <xdr:row>22</xdr:row>
      <xdr:rowOff>178708</xdr:rowOff>
    </xdr:from>
    <xdr:to>
      <xdr:col>16</xdr:col>
      <xdr:colOff>828675</xdr:colOff>
      <xdr:row>26</xdr:row>
      <xdr:rowOff>73025</xdr:rowOff>
    </xdr:to>
    <xdr:sp macro="" textlink="">
      <xdr:nvSpPr>
        <xdr:cNvPr id="13" name="TextBox 12">
          <a:extLst>
            <a:ext uri="{FF2B5EF4-FFF2-40B4-BE49-F238E27FC236}">
              <a16:creationId xmlns:a16="http://schemas.microsoft.com/office/drawing/2014/main" id="{658FE69D-A80C-4A63-82EC-F633E68431B9}"/>
            </a:ext>
          </a:extLst>
        </xdr:cNvPr>
        <xdr:cNvSpPr txBox="1"/>
      </xdr:nvSpPr>
      <xdr:spPr>
        <a:xfrm>
          <a:off x="16850631" y="5506358"/>
          <a:ext cx="2205719" cy="61504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492125</xdr:colOff>
      <xdr:row>2</xdr:row>
      <xdr:rowOff>152400</xdr:rowOff>
    </xdr:from>
    <xdr:to>
      <xdr:col>16</xdr:col>
      <xdr:colOff>502984</xdr:colOff>
      <xdr:row>4</xdr:row>
      <xdr:rowOff>304800</xdr:rowOff>
    </xdr:to>
    <xdr:cxnSp macro="">
      <xdr:nvCxnSpPr>
        <xdr:cNvPr id="14" name="Straight Arrow Connector 13">
          <a:extLst>
            <a:ext uri="{FF2B5EF4-FFF2-40B4-BE49-F238E27FC236}">
              <a16:creationId xmlns:a16="http://schemas.microsoft.com/office/drawing/2014/main" id="{B6EB7EBF-38E0-44B6-A2D5-43AFDB82D192}"/>
            </a:ext>
          </a:extLst>
        </xdr:cNvPr>
        <xdr:cNvCxnSpPr>
          <a:cxnSpLocks/>
        </xdr:cNvCxnSpPr>
      </xdr:nvCxnSpPr>
      <xdr:spPr>
        <a:xfrm>
          <a:off x="17894300" y="80962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447675</xdr:colOff>
      <xdr:row>0</xdr:row>
      <xdr:rowOff>142875</xdr:rowOff>
    </xdr:from>
    <xdr:to>
      <xdr:col>18</xdr:col>
      <xdr:colOff>1358900</xdr:colOff>
      <xdr:row>2</xdr:row>
      <xdr:rowOff>149859</xdr:rowOff>
    </xdr:to>
    <xdr:sp macro="" textlink="">
      <xdr:nvSpPr>
        <xdr:cNvPr id="15" name="TextBox 8">
          <a:extLst>
            <a:ext uri="{FF2B5EF4-FFF2-40B4-BE49-F238E27FC236}">
              <a16:creationId xmlns:a16="http://schemas.microsoft.com/office/drawing/2014/main" id="{D6288D0A-A7D6-4384-80B5-16FCF310CEDE}"/>
            </a:ext>
          </a:extLst>
        </xdr:cNvPr>
        <xdr:cNvSpPr txBox="1"/>
      </xdr:nvSpPr>
      <xdr:spPr>
        <a:xfrm>
          <a:off x="16687800" y="142875"/>
          <a:ext cx="5445125"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14</xdr:col>
      <xdr:colOff>800100</xdr:colOff>
      <xdr:row>9</xdr:row>
      <xdr:rowOff>28575</xdr:rowOff>
    </xdr:from>
    <xdr:to>
      <xdr:col>15</xdr:col>
      <xdr:colOff>479653</xdr:colOff>
      <xdr:row>14</xdr:row>
      <xdr:rowOff>0</xdr:rowOff>
    </xdr:to>
    <xdr:cxnSp macro="">
      <xdr:nvCxnSpPr>
        <xdr:cNvPr id="18" name="Straight Arrow Connector 5">
          <a:extLst>
            <a:ext uri="{FF2B5EF4-FFF2-40B4-BE49-F238E27FC236}">
              <a16:creationId xmlns:a16="http://schemas.microsoft.com/office/drawing/2014/main" id="{07FDAC49-1749-42D3-B32D-1A05A48FE9A1}"/>
            </a:ext>
          </a:extLst>
        </xdr:cNvPr>
        <xdr:cNvCxnSpPr>
          <a:stCxn id="17" idx="0"/>
        </xdr:cNvCxnSpPr>
      </xdr:nvCxnSpPr>
      <xdr:spPr>
        <a:xfrm flipH="1" flipV="1">
          <a:off x="17040225" y="3000375"/>
          <a:ext cx="936853" cy="876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30069</xdr:colOff>
      <xdr:row>7</xdr:row>
      <xdr:rowOff>104402</xdr:rowOff>
    </xdr:from>
    <xdr:to>
      <xdr:col>14</xdr:col>
      <xdr:colOff>219075</xdr:colOff>
      <xdr:row>8</xdr:row>
      <xdr:rowOff>0</xdr:rowOff>
    </xdr:to>
    <xdr:cxnSp macro="">
      <xdr:nvCxnSpPr>
        <xdr:cNvPr id="52" name="Straight Arrow Connector 2">
          <a:extLst>
            <a:ext uri="{FF2B5EF4-FFF2-40B4-BE49-F238E27FC236}">
              <a16:creationId xmlns:a16="http://schemas.microsoft.com/office/drawing/2014/main" id="{0505E263-DBE2-40CE-B730-B5FCFA0489CB}"/>
            </a:ext>
          </a:extLst>
        </xdr:cNvPr>
        <xdr:cNvCxnSpPr/>
      </xdr:nvCxnSpPr>
      <xdr:spPr>
        <a:xfrm>
          <a:off x="16270194" y="2714252"/>
          <a:ext cx="189006" cy="76573"/>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981795</xdr:colOff>
      <xdr:row>8</xdr:row>
      <xdr:rowOff>104775</xdr:rowOff>
    </xdr:from>
    <xdr:to>
      <xdr:col>14</xdr:col>
      <xdr:colOff>142875</xdr:colOff>
      <xdr:row>8</xdr:row>
      <xdr:rowOff>105363</xdr:rowOff>
    </xdr:to>
    <xdr:cxnSp macro="">
      <xdr:nvCxnSpPr>
        <xdr:cNvPr id="4" name="Straight Arrow Connector 3">
          <a:extLst>
            <a:ext uri="{FF2B5EF4-FFF2-40B4-BE49-F238E27FC236}">
              <a16:creationId xmlns:a16="http://schemas.microsoft.com/office/drawing/2014/main" id="{F69F2837-8C3D-4C40-834C-8B36B6F49555}"/>
            </a:ext>
          </a:extLst>
        </xdr:cNvPr>
        <xdr:cNvCxnSpPr/>
      </xdr:nvCxnSpPr>
      <xdr:spPr>
        <a:xfrm flipV="1">
          <a:off x="16221795" y="2895600"/>
          <a:ext cx="161205" cy="58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495300</xdr:colOff>
      <xdr:row>1</xdr:row>
      <xdr:rowOff>92710</xdr:rowOff>
    </xdr:from>
    <xdr:to>
      <xdr:col>14</xdr:col>
      <xdr:colOff>818243</xdr:colOff>
      <xdr:row>4</xdr:row>
      <xdr:rowOff>304800</xdr:rowOff>
    </xdr:to>
    <xdr:cxnSp macro="">
      <xdr:nvCxnSpPr>
        <xdr:cNvPr id="23" name="Straight Arrow Connector 20">
          <a:extLst>
            <a:ext uri="{FF2B5EF4-FFF2-40B4-BE49-F238E27FC236}">
              <a16:creationId xmlns:a16="http://schemas.microsoft.com/office/drawing/2014/main" id="{19757E8C-0B89-4888-9652-784353339AE2}"/>
            </a:ext>
          </a:extLst>
        </xdr:cNvPr>
        <xdr:cNvCxnSpPr>
          <a:cxnSpLocks/>
        </xdr:cNvCxnSpPr>
      </xdr:nvCxnSpPr>
      <xdr:spPr>
        <a:xfrm flipH="1">
          <a:off x="15735300" y="492760"/>
          <a:ext cx="1323068" cy="85979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27214</xdr:colOff>
      <xdr:row>8</xdr:row>
      <xdr:rowOff>163285</xdr:rowOff>
    </xdr:from>
    <xdr:to>
      <xdr:col>18</xdr:col>
      <xdr:colOff>752475</xdr:colOff>
      <xdr:row>10</xdr:row>
      <xdr:rowOff>57433</xdr:rowOff>
    </xdr:to>
    <xdr:cxnSp macro="">
      <xdr:nvCxnSpPr>
        <xdr:cNvPr id="27" name="Straight Arrow Connector 5">
          <a:extLst>
            <a:ext uri="{FF2B5EF4-FFF2-40B4-BE49-F238E27FC236}">
              <a16:creationId xmlns:a16="http://schemas.microsoft.com/office/drawing/2014/main" id="{C0AC9BDE-DDC7-4A77-AFF4-FBCD6D279DA0}"/>
            </a:ext>
          </a:extLst>
        </xdr:cNvPr>
        <xdr:cNvCxnSpPr>
          <a:stCxn id="26" idx="1"/>
        </xdr:cNvCxnSpPr>
      </xdr:nvCxnSpPr>
      <xdr:spPr>
        <a:xfrm flipH="1" flipV="1">
          <a:off x="17607643" y="2898321"/>
          <a:ext cx="725261" cy="24793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625930</xdr:colOff>
      <xdr:row>14</xdr:row>
      <xdr:rowOff>0</xdr:rowOff>
    </xdr:from>
    <xdr:to>
      <xdr:col>16</xdr:col>
      <xdr:colOff>876301</xdr:colOff>
      <xdr:row>17</xdr:row>
      <xdr:rowOff>122121</xdr:rowOff>
    </xdr:to>
    <xdr:sp macro="" textlink="">
      <xdr:nvSpPr>
        <xdr:cNvPr id="17" name="TextBox 7">
          <a:extLst>
            <a:ext uri="{FF2B5EF4-FFF2-40B4-BE49-F238E27FC236}">
              <a16:creationId xmlns:a16="http://schemas.microsoft.com/office/drawing/2014/main" id="{C9976646-2627-4D15-BA6D-E48CE95455A3}"/>
            </a:ext>
          </a:extLst>
        </xdr:cNvPr>
        <xdr:cNvSpPr txBox="1"/>
      </xdr:nvSpPr>
      <xdr:spPr>
        <a:xfrm>
          <a:off x="16866055" y="3876675"/>
          <a:ext cx="2222046" cy="66504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hydrogen output.</a:t>
          </a:r>
          <a:endParaRPr lang="en-GB" sz="1100"/>
        </a:p>
      </xdr:txBody>
    </xdr:sp>
    <xdr:clientData/>
  </xdr:twoCellAnchor>
  <xdr:twoCellAnchor>
    <xdr:from>
      <xdr:col>19</xdr:col>
      <xdr:colOff>1173390</xdr:colOff>
      <xdr:row>16</xdr:row>
      <xdr:rowOff>81642</xdr:rowOff>
    </xdr:from>
    <xdr:to>
      <xdr:col>19</xdr:col>
      <xdr:colOff>1224643</xdr:colOff>
      <xdr:row>19</xdr:row>
      <xdr:rowOff>95250</xdr:rowOff>
    </xdr:to>
    <xdr:cxnSp macro="">
      <xdr:nvCxnSpPr>
        <xdr:cNvPr id="21" name="Straight Arrow Connector 5">
          <a:extLst>
            <a:ext uri="{FF2B5EF4-FFF2-40B4-BE49-F238E27FC236}">
              <a16:creationId xmlns:a16="http://schemas.microsoft.com/office/drawing/2014/main" id="{4B6D7A75-61D7-4776-846B-405C09838AE4}"/>
            </a:ext>
          </a:extLst>
        </xdr:cNvPr>
        <xdr:cNvCxnSpPr>
          <a:cxnSpLocks/>
        </xdr:cNvCxnSpPr>
      </xdr:nvCxnSpPr>
      <xdr:spPr>
        <a:xfrm flipH="1">
          <a:off x="20209783" y="4231821"/>
          <a:ext cx="51253" cy="367393"/>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1037318</xdr:colOff>
      <xdr:row>16</xdr:row>
      <xdr:rowOff>95250</xdr:rowOff>
    </xdr:from>
    <xdr:to>
      <xdr:col>19</xdr:col>
      <xdr:colOff>1265464</xdr:colOff>
      <xdr:row>19</xdr:row>
      <xdr:rowOff>84818</xdr:rowOff>
    </xdr:to>
    <xdr:cxnSp macro="">
      <xdr:nvCxnSpPr>
        <xdr:cNvPr id="20" name="Straight Arrow Connector 5">
          <a:extLst>
            <a:ext uri="{FF2B5EF4-FFF2-40B4-BE49-F238E27FC236}">
              <a16:creationId xmlns:a16="http://schemas.microsoft.com/office/drawing/2014/main" id="{6F19FA99-90EE-4503-82B4-4A4B5C830447}"/>
            </a:ext>
          </a:extLst>
        </xdr:cNvPr>
        <xdr:cNvCxnSpPr>
          <a:cxnSpLocks/>
        </xdr:cNvCxnSpPr>
      </xdr:nvCxnSpPr>
      <xdr:spPr>
        <a:xfrm flipH="1">
          <a:off x="18617747" y="4245429"/>
          <a:ext cx="1684110" cy="343353"/>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549057</xdr:colOff>
      <xdr:row>16</xdr:row>
      <xdr:rowOff>93092</xdr:rowOff>
    </xdr:from>
    <xdr:to>
      <xdr:col>21</xdr:col>
      <xdr:colOff>914400</xdr:colOff>
      <xdr:row>19</xdr:row>
      <xdr:rowOff>28575</xdr:rowOff>
    </xdr:to>
    <xdr:cxnSp macro="">
      <xdr:nvCxnSpPr>
        <xdr:cNvPr id="19" name="Straight Arrow Connector 5">
          <a:extLst>
            <a:ext uri="{FF2B5EF4-FFF2-40B4-BE49-F238E27FC236}">
              <a16:creationId xmlns:a16="http://schemas.microsoft.com/office/drawing/2014/main" id="{668DC8BE-1065-4D7E-8CC4-EC84DF4E3D66}"/>
            </a:ext>
          </a:extLst>
        </xdr:cNvPr>
        <xdr:cNvCxnSpPr>
          <a:cxnSpLocks/>
          <a:stCxn id="15" idx="2"/>
        </xdr:cNvCxnSpPr>
      </xdr:nvCxnSpPr>
      <xdr:spPr>
        <a:xfrm>
          <a:off x="23123307" y="4426967"/>
          <a:ext cx="1879818" cy="71653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755650</xdr:colOff>
      <xdr:row>8</xdr:row>
      <xdr:rowOff>84818</xdr:rowOff>
    </xdr:from>
    <xdr:to>
      <xdr:col>20</xdr:col>
      <xdr:colOff>453118</xdr:colOff>
      <xdr:row>12</xdr:row>
      <xdr:rowOff>30046</xdr:rowOff>
    </xdr:to>
    <xdr:sp macro="" textlink="">
      <xdr:nvSpPr>
        <xdr:cNvPr id="26" name="TextBox 13">
          <a:extLst>
            <a:ext uri="{FF2B5EF4-FFF2-40B4-BE49-F238E27FC236}">
              <a16:creationId xmlns:a16="http://schemas.microsoft.com/office/drawing/2014/main" id="{CC559CFE-75F6-4C6B-ADF9-C65FA34C5889}"/>
            </a:ext>
          </a:extLst>
        </xdr:cNvPr>
        <xdr:cNvSpPr txBox="1"/>
      </xdr:nvSpPr>
      <xdr:spPr>
        <a:xfrm>
          <a:off x="18336079" y="2819854"/>
          <a:ext cx="2609396" cy="65279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1129393</xdr:colOff>
      <xdr:row>12</xdr:row>
      <xdr:rowOff>163286</xdr:rowOff>
    </xdr:from>
    <xdr:to>
      <xdr:col>21</xdr:col>
      <xdr:colOff>1216496</xdr:colOff>
      <xdr:row>16</xdr:row>
      <xdr:rowOff>93092</xdr:rowOff>
    </xdr:to>
    <xdr:sp macro="" textlink="">
      <xdr:nvSpPr>
        <xdr:cNvPr id="15" name="TextBox 27">
          <a:extLst>
            <a:ext uri="{FF2B5EF4-FFF2-40B4-BE49-F238E27FC236}">
              <a16:creationId xmlns:a16="http://schemas.microsoft.com/office/drawing/2014/main" id="{93DFB5A5-654C-4942-90B4-7E2041EDCAB6}"/>
            </a:ext>
          </a:extLst>
        </xdr:cNvPr>
        <xdr:cNvSpPr txBox="1"/>
      </xdr:nvSpPr>
      <xdr:spPr>
        <a:xfrm>
          <a:off x="18709822" y="3605893"/>
          <a:ext cx="4128424"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5</xdr:col>
      <xdr:colOff>803274</xdr:colOff>
      <xdr:row>78</xdr:row>
      <xdr:rowOff>168275</xdr:rowOff>
    </xdr:from>
    <xdr:to>
      <xdr:col>7</xdr:col>
      <xdr:colOff>692602</xdr:colOff>
      <xdr:row>81</xdr:row>
      <xdr:rowOff>102054</xdr:rowOff>
    </xdr:to>
    <xdr:sp macro="" textlink="">
      <xdr:nvSpPr>
        <xdr:cNvPr id="28" name="TextBox 7">
          <a:extLst>
            <a:ext uri="{FF2B5EF4-FFF2-40B4-BE49-F238E27FC236}">
              <a16:creationId xmlns:a16="http://schemas.microsoft.com/office/drawing/2014/main" id="{26E4BCA4-CEA2-4227-8BA4-78E96A04EA76}"/>
            </a:ext>
          </a:extLst>
        </xdr:cNvPr>
        <xdr:cNvSpPr txBox="1"/>
      </xdr:nvSpPr>
      <xdr:spPr>
        <a:xfrm>
          <a:off x="7156449" y="16951325"/>
          <a:ext cx="2984953" cy="47670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CO</a:t>
          </a:r>
          <a:r>
            <a:rPr lang="en-GB" sz="1100" baseline="-25000"/>
            <a:t>2</a:t>
          </a:r>
          <a:r>
            <a:rPr lang="en-GB" sz="1100" baseline="0"/>
            <a:t> capture rate is linked to the response given in the Initial questions worksheet.</a:t>
          </a:r>
          <a:endParaRPr lang="en-GB" sz="1100"/>
        </a:p>
      </xdr:txBody>
    </xdr:sp>
    <xdr:clientData/>
  </xdr:twoCellAnchor>
  <xdr:twoCellAnchor>
    <xdr:from>
      <xdr:col>5</xdr:col>
      <xdr:colOff>95250</xdr:colOff>
      <xdr:row>78</xdr:row>
      <xdr:rowOff>133351</xdr:rowOff>
    </xdr:from>
    <xdr:to>
      <xdr:col>5</xdr:col>
      <xdr:colOff>803274</xdr:colOff>
      <xdr:row>80</xdr:row>
      <xdr:rowOff>46718</xdr:rowOff>
    </xdr:to>
    <xdr:cxnSp macro="">
      <xdr:nvCxnSpPr>
        <xdr:cNvPr id="22" name="Straight Arrow Connector 5">
          <a:extLst>
            <a:ext uri="{FF2B5EF4-FFF2-40B4-BE49-F238E27FC236}">
              <a16:creationId xmlns:a16="http://schemas.microsoft.com/office/drawing/2014/main" id="{7334CF8C-4D3F-4780-AF4E-8976FD202B5C}"/>
            </a:ext>
          </a:extLst>
        </xdr:cNvPr>
        <xdr:cNvCxnSpPr>
          <a:stCxn id="28" idx="1"/>
        </xdr:cNvCxnSpPr>
      </xdr:nvCxnSpPr>
      <xdr:spPr>
        <a:xfrm flipH="1" flipV="1">
          <a:off x="6354536" y="16638815"/>
          <a:ext cx="708024" cy="26715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xdr:row>
      <xdr:rowOff>0</xdr:rowOff>
    </xdr:from>
    <xdr:to>
      <xdr:col>2</xdr:col>
      <xdr:colOff>2371567</xdr:colOff>
      <xdr:row>4</xdr:row>
      <xdr:rowOff>828130</xdr:rowOff>
    </xdr:to>
    <xdr:sp macro="" textlink="">
      <xdr:nvSpPr>
        <xdr:cNvPr id="24" name="TextBox 17">
          <a:extLst>
            <a:ext uri="{FF2B5EF4-FFF2-40B4-BE49-F238E27FC236}">
              <a16:creationId xmlns:a16="http://schemas.microsoft.com/office/drawing/2014/main" id="{B59DBD54-72C3-4C98-AB3C-D56D6A297801}"/>
            </a:ext>
          </a:extLst>
        </xdr:cNvPr>
        <xdr:cNvSpPr txBox="1"/>
      </xdr:nvSpPr>
      <xdr:spPr>
        <a:xfrm>
          <a:off x="286871" y="99508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828675</xdr:colOff>
      <xdr:row>0</xdr:row>
      <xdr:rowOff>152400</xdr:rowOff>
    </xdr:from>
    <xdr:to>
      <xdr:col>19</xdr:col>
      <xdr:colOff>304800</xdr:colOff>
      <xdr:row>2</xdr:row>
      <xdr:rowOff>159384</xdr:rowOff>
    </xdr:to>
    <xdr:sp macro="" textlink="">
      <xdr:nvSpPr>
        <xdr:cNvPr id="8" name="TextBox 8">
          <a:extLst>
            <a:ext uri="{FF2B5EF4-FFF2-40B4-BE49-F238E27FC236}">
              <a16:creationId xmlns:a16="http://schemas.microsoft.com/office/drawing/2014/main" id="{BD73216F-A3B8-4133-AF2C-161ED07A95D0}"/>
            </a:ext>
          </a:extLst>
        </xdr:cNvPr>
        <xdr:cNvSpPr txBox="1"/>
      </xdr:nvSpPr>
      <xdr:spPr>
        <a:xfrm>
          <a:off x="17068800" y="152400"/>
          <a:ext cx="5438775"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twoCellAnchor>
    <xdr:from>
      <xdr:col>16</xdr:col>
      <xdr:colOff>539750</xdr:colOff>
      <xdr:row>2</xdr:row>
      <xdr:rowOff>171450</xdr:rowOff>
    </xdr:from>
    <xdr:to>
      <xdr:col>16</xdr:col>
      <xdr:colOff>550609</xdr:colOff>
      <xdr:row>4</xdr:row>
      <xdr:rowOff>323850</xdr:rowOff>
    </xdr:to>
    <xdr:cxnSp macro="">
      <xdr:nvCxnSpPr>
        <xdr:cNvPr id="2" name="Straight Arrow Connector 1">
          <a:extLst>
            <a:ext uri="{FF2B5EF4-FFF2-40B4-BE49-F238E27FC236}">
              <a16:creationId xmlns:a16="http://schemas.microsoft.com/office/drawing/2014/main" id="{530B4C49-6948-4312-A758-7B498DADC9FC}"/>
            </a:ext>
          </a:extLst>
        </xdr:cNvPr>
        <xdr:cNvCxnSpPr>
          <a:cxnSpLocks/>
        </xdr:cNvCxnSpPr>
      </xdr:nvCxnSpPr>
      <xdr:spPr>
        <a:xfrm>
          <a:off x="17922875" y="82867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xdr:from>
      <xdr:col>24</xdr:col>
      <xdr:colOff>215356</xdr:colOff>
      <xdr:row>34</xdr:row>
      <xdr:rowOff>47262</xdr:rowOff>
    </xdr:from>
    <xdr:to>
      <xdr:col>34</xdr:col>
      <xdr:colOff>92257</xdr:colOff>
      <xdr:row>37</xdr:row>
      <xdr:rowOff>13804</xdr:rowOff>
    </xdr:to>
    <xdr:sp macro="" textlink="">
      <xdr:nvSpPr>
        <xdr:cNvPr id="16" name="Rectangle 1">
          <a:extLst>
            <a:ext uri="{FF2B5EF4-FFF2-40B4-BE49-F238E27FC236}">
              <a16:creationId xmlns:a16="http://schemas.microsoft.com/office/drawing/2014/main" id="{C2F66BA8-3FB3-4932-8013-97BB37B713F0}"/>
            </a:ext>
          </a:extLst>
        </xdr:cNvPr>
        <xdr:cNvSpPr/>
      </xdr:nvSpPr>
      <xdr:spPr>
        <a:xfrm>
          <a:off x="24842313" y="7280740"/>
          <a:ext cx="4846466" cy="50491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GB" sz="1100">
              <a:solidFill>
                <a:schemeClr val="lt1"/>
              </a:solidFill>
              <a:effectLst/>
              <a:latin typeface="+mn-lt"/>
              <a:ea typeface="+mn-ea"/>
              <a:cs typeface="+mn-cs"/>
            </a:rPr>
            <a:t>If dLUC</a:t>
          </a:r>
          <a:r>
            <a:rPr lang="en-GB" sz="1100" baseline="0">
              <a:solidFill>
                <a:schemeClr val="lt1"/>
              </a:solidFill>
              <a:effectLst/>
              <a:latin typeface="+mn-lt"/>
              <a:ea typeface="+mn-ea"/>
              <a:cs typeface="+mn-cs"/>
            </a:rPr>
            <a:t> emissions </a:t>
          </a:r>
          <a:r>
            <a:rPr lang="en-GB" sz="1100">
              <a:solidFill>
                <a:schemeClr val="lt1"/>
              </a:solidFill>
              <a:effectLst/>
              <a:latin typeface="+mn-lt"/>
              <a:ea typeface="+mn-ea"/>
              <a:cs typeface="+mn-cs"/>
            </a:rPr>
            <a:t>are unknown, see the Guidance Feedstock dLUC</a:t>
          </a:r>
          <a:r>
            <a:rPr lang="en-GB" sz="1100" baseline="0">
              <a:solidFill>
                <a:schemeClr val="lt1"/>
              </a:solidFill>
              <a:effectLst/>
              <a:latin typeface="+mn-lt"/>
              <a:ea typeface="+mn-ea"/>
              <a:cs typeface="+mn-cs"/>
            </a:rPr>
            <a:t> worksheet</a:t>
          </a:r>
          <a:r>
            <a:rPr lang="en-GB" sz="1100">
              <a:solidFill>
                <a:schemeClr val="lt1"/>
              </a:solidFill>
              <a:effectLst/>
              <a:latin typeface="+mn-lt"/>
              <a:ea typeface="+mn-ea"/>
              <a:cs typeface="+mn-cs"/>
            </a:rPr>
            <a:t> for instructions on how to calculate this</a:t>
          </a:r>
          <a:endParaRPr lang="en-GB">
            <a:effectLst/>
          </a:endParaRPr>
        </a:p>
      </xdr:txBody>
    </xdr:sp>
    <xdr:clientData/>
  </xdr:twoCellAnchor>
  <xdr:twoCellAnchor>
    <xdr:from>
      <xdr:col>13</xdr:col>
      <xdr:colOff>420205</xdr:colOff>
      <xdr:row>1</xdr:row>
      <xdr:rowOff>161925</xdr:rowOff>
    </xdr:from>
    <xdr:to>
      <xdr:col>14</xdr:col>
      <xdr:colOff>295275</xdr:colOff>
      <xdr:row>4</xdr:row>
      <xdr:rowOff>436770</xdr:rowOff>
    </xdr:to>
    <xdr:cxnSp macro="">
      <xdr:nvCxnSpPr>
        <xdr:cNvPr id="15" name="Straight Arrow Connector 20">
          <a:extLst>
            <a:ext uri="{FF2B5EF4-FFF2-40B4-BE49-F238E27FC236}">
              <a16:creationId xmlns:a16="http://schemas.microsoft.com/office/drawing/2014/main" id="{1CCF9DE9-FA75-4636-A3B0-A83120C2C02A}"/>
            </a:ext>
          </a:extLst>
        </xdr:cNvPr>
        <xdr:cNvCxnSpPr>
          <a:cxnSpLocks/>
        </xdr:cNvCxnSpPr>
      </xdr:nvCxnSpPr>
      <xdr:spPr>
        <a:xfrm flipH="1">
          <a:off x="15945955" y="561975"/>
          <a:ext cx="875195" cy="92254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1219200</xdr:colOff>
      <xdr:row>18</xdr:row>
      <xdr:rowOff>9526</xdr:rowOff>
    </xdr:from>
    <xdr:to>
      <xdr:col>20</xdr:col>
      <xdr:colOff>261485</xdr:colOff>
      <xdr:row>19</xdr:row>
      <xdr:rowOff>76200</xdr:rowOff>
    </xdr:to>
    <xdr:cxnSp macro="">
      <xdr:nvCxnSpPr>
        <xdr:cNvPr id="17" name="Straight Arrow Connector 5">
          <a:extLst>
            <a:ext uri="{FF2B5EF4-FFF2-40B4-BE49-F238E27FC236}">
              <a16:creationId xmlns:a16="http://schemas.microsoft.com/office/drawing/2014/main" id="{C876CCB3-FC63-48F5-9BD4-0615D07155D2}"/>
            </a:ext>
          </a:extLst>
        </xdr:cNvPr>
        <xdr:cNvCxnSpPr>
          <a:stCxn id="10" idx="0"/>
        </xdr:cNvCxnSpPr>
      </xdr:nvCxnSpPr>
      <xdr:spPr>
        <a:xfrm flipH="1">
          <a:off x="20831175" y="4610101"/>
          <a:ext cx="3166610" cy="24764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736126</xdr:colOff>
      <xdr:row>23</xdr:row>
      <xdr:rowOff>6488</xdr:rowOff>
    </xdr:from>
    <xdr:to>
      <xdr:col>19</xdr:col>
      <xdr:colOff>562369</xdr:colOff>
      <xdr:row>25</xdr:row>
      <xdr:rowOff>147866</xdr:rowOff>
    </xdr:to>
    <xdr:cxnSp macro="">
      <xdr:nvCxnSpPr>
        <xdr:cNvPr id="19" name="Straight Arrow Connector 5">
          <a:extLst>
            <a:ext uri="{FF2B5EF4-FFF2-40B4-BE49-F238E27FC236}">
              <a16:creationId xmlns:a16="http://schemas.microsoft.com/office/drawing/2014/main" id="{B56F0A9E-B067-4423-A6C4-73E97C29D93F}"/>
            </a:ext>
          </a:extLst>
        </xdr:cNvPr>
        <xdr:cNvCxnSpPr/>
      </xdr:nvCxnSpPr>
      <xdr:spPr>
        <a:xfrm flipH="1">
          <a:off x="18750800" y="5417792"/>
          <a:ext cx="1289504" cy="50029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547805</xdr:colOff>
      <xdr:row>25</xdr:row>
      <xdr:rowOff>19909</xdr:rowOff>
    </xdr:from>
    <xdr:to>
      <xdr:col>21</xdr:col>
      <xdr:colOff>228600</xdr:colOff>
      <xdr:row>26</xdr:row>
      <xdr:rowOff>0</xdr:rowOff>
    </xdr:to>
    <xdr:cxnSp macro="">
      <xdr:nvCxnSpPr>
        <xdr:cNvPr id="6" name="Straight Arrow Connector 5">
          <a:extLst>
            <a:ext uri="{FF2B5EF4-FFF2-40B4-BE49-F238E27FC236}">
              <a16:creationId xmlns:a16="http://schemas.microsoft.com/office/drawing/2014/main" id="{BDCD8772-E195-4A80-B534-68E098D863F6}"/>
            </a:ext>
          </a:extLst>
        </xdr:cNvPr>
        <xdr:cNvCxnSpPr>
          <a:stCxn id="3" idx="2"/>
        </xdr:cNvCxnSpPr>
      </xdr:nvCxnSpPr>
      <xdr:spPr>
        <a:xfrm>
          <a:off x="23207780" y="6068284"/>
          <a:ext cx="1195270" cy="17059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513444</xdr:colOff>
      <xdr:row>18</xdr:row>
      <xdr:rowOff>9526</xdr:rowOff>
    </xdr:from>
    <xdr:to>
      <xdr:col>21</xdr:col>
      <xdr:colOff>1314450</xdr:colOff>
      <xdr:row>20</xdr:row>
      <xdr:rowOff>85725</xdr:rowOff>
    </xdr:to>
    <xdr:sp macro="" textlink="">
      <xdr:nvSpPr>
        <xdr:cNvPr id="10" name="TextBox 9">
          <a:extLst>
            <a:ext uri="{FF2B5EF4-FFF2-40B4-BE49-F238E27FC236}">
              <a16:creationId xmlns:a16="http://schemas.microsoft.com/office/drawing/2014/main" id="{EF99538E-8A62-4665-9A15-5E4270030B72}"/>
            </a:ext>
          </a:extLst>
        </xdr:cNvPr>
        <xdr:cNvSpPr txBox="1"/>
      </xdr:nvSpPr>
      <xdr:spPr>
        <a:xfrm>
          <a:off x="21354144" y="4610101"/>
          <a:ext cx="5287281" cy="43814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1151007</xdr:colOff>
      <xdr:row>21</xdr:row>
      <xdr:rowOff>105051</xdr:rowOff>
    </xdr:from>
    <xdr:to>
      <xdr:col>21</xdr:col>
      <xdr:colOff>1192378</xdr:colOff>
      <xdr:row>25</xdr:row>
      <xdr:rowOff>19909</xdr:rowOff>
    </xdr:to>
    <xdr:sp macro="" textlink="">
      <xdr:nvSpPr>
        <xdr:cNvPr id="3" name="TextBox 27">
          <a:extLst>
            <a:ext uri="{FF2B5EF4-FFF2-40B4-BE49-F238E27FC236}">
              <a16:creationId xmlns:a16="http://schemas.microsoft.com/office/drawing/2014/main" id="{6E200BA0-FC70-493F-99C2-237EA9AE9588}"/>
            </a:ext>
          </a:extLst>
        </xdr:cNvPr>
        <xdr:cNvSpPr txBox="1"/>
      </xdr:nvSpPr>
      <xdr:spPr>
        <a:xfrm>
          <a:off x="21048732" y="5391426"/>
          <a:ext cx="4318096" cy="67685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4" name="TextBox 17">
          <a:extLst>
            <a:ext uri="{FF2B5EF4-FFF2-40B4-BE49-F238E27FC236}">
              <a16:creationId xmlns:a16="http://schemas.microsoft.com/office/drawing/2014/main" id="{F0C98D19-1B1A-4FEA-B585-98B222773186}"/>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16</xdr:col>
      <xdr:colOff>502984</xdr:colOff>
      <xdr:row>2</xdr:row>
      <xdr:rowOff>161925</xdr:rowOff>
    </xdr:from>
    <xdr:to>
      <xdr:col>16</xdr:col>
      <xdr:colOff>514350</xdr:colOff>
      <xdr:row>4</xdr:row>
      <xdr:rowOff>342900</xdr:rowOff>
    </xdr:to>
    <xdr:cxnSp macro="">
      <xdr:nvCxnSpPr>
        <xdr:cNvPr id="26" name="Straight Arrow Connector 25">
          <a:extLst>
            <a:ext uri="{FF2B5EF4-FFF2-40B4-BE49-F238E27FC236}">
              <a16:creationId xmlns:a16="http://schemas.microsoft.com/office/drawing/2014/main" id="{19805964-6608-4CA6-BB1A-CEC7BE556274}"/>
            </a:ext>
          </a:extLst>
        </xdr:cNvPr>
        <xdr:cNvCxnSpPr>
          <a:cxnSpLocks/>
        </xdr:cNvCxnSpPr>
      </xdr:nvCxnSpPr>
      <xdr:spPr>
        <a:xfrm flipH="1">
          <a:off x="17971834" y="819150"/>
          <a:ext cx="11366" cy="5619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276225</xdr:colOff>
      <xdr:row>0</xdr:row>
      <xdr:rowOff>152400</xdr:rowOff>
    </xdr:from>
    <xdr:to>
      <xdr:col>19</xdr:col>
      <xdr:colOff>406401</xdr:colOff>
      <xdr:row>2</xdr:row>
      <xdr:rowOff>162559</xdr:rowOff>
    </xdr:to>
    <xdr:sp macro="" textlink="">
      <xdr:nvSpPr>
        <xdr:cNvPr id="27" name="TextBox 8">
          <a:extLst>
            <a:ext uri="{FF2B5EF4-FFF2-40B4-BE49-F238E27FC236}">
              <a16:creationId xmlns:a16="http://schemas.microsoft.com/office/drawing/2014/main" id="{6DEB78E7-85A1-4461-8F0B-19B233ED4626}"/>
            </a:ext>
          </a:extLst>
        </xdr:cNvPr>
        <xdr:cNvSpPr txBox="1"/>
      </xdr:nvSpPr>
      <xdr:spPr>
        <a:xfrm>
          <a:off x="16802100" y="152400"/>
          <a:ext cx="5892801" cy="6673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561975</xdr:colOff>
      <xdr:row>72</xdr:row>
      <xdr:rowOff>19050</xdr:rowOff>
    </xdr:from>
    <xdr:to>
      <xdr:col>27</xdr:col>
      <xdr:colOff>97482</xdr:colOff>
      <xdr:row>78</xdr:row>
      <xdr:rowOff>73186</xdr:rowOff>
    </xdr:to>
    <xdr:pic>
      <xdr:nvPicPr>
        <xdr:cNvPr id="12" name="Picture 11">
          <a:extLst>
            <a:ext uri="{FF2B5EF4-FFF2-40B4-BE49-F238E27FC236}">
              <a16:creationId xmlns:a16="http://schemas.microsoft.com/office/drawing/2014/main" id="{7C26136D-42FA-43D4-9E3F-8554B3970D11}"/>
            </a:ext>
          </a:extLst>
        </xdr:cNvPr>
        <xdr:cNvPicPr>
          <a:picLocks noChangeAspect="1"/>
        </xdr:cNvPicPr>
      </xdr:nvPicPr>
      <xdr:blipFill>
        <a:blip xmlns:r="http://schemas.openxmlformats.org/officeDocument/2006/relationships" r:embed="rId1"/>
        <a:stretch>
          <a:fillRect/>
        </a:stretch>
      </xdr:blipFill>
      <xdr:spPr>
        <a:xfrm>
          <a:off x="561975" y="14839950"/>
          <a:ext cx="15994707" cy="1149511"/>
        </a:xfrm>
        <a:prstGeom prst="rect">
          <a:avLst/>
        </a:prstGeom>
      </xdr:spPr>
    </xdr:pic>
    <xdr:clientData/>
  </xdr:twoCellAnchor>
  <xdr:twoCellAnchor editAs="oneCell">
    <xdr:from>
      <xdr:col>0</xdr:col>
      <xdr:colOff>542925</xdr:colOff>
      <xdr:row>78</xdr:row>
      <xdr:rowOff>53975</xdr:rowOff>
    </xdr:from>
    <xdr:to>
      <xdr:col>26</xdr:col>
      <xdr:colOff>590550</xdr:colOff>
      <xdr:row>92</xdr:row>
      <xdr:rowOff>1711</xdr:rowOff>
    </xdr:to>
    <xdr:pic>
      <xdr:nvPicPr>
        <xdr:cNvPr id="9" name="Picture 8">
          <a:extLst>
            <a:ext uri="{FF2B5EF4-FFF2-40B4-BE49-F238E27FC236}">
              <a16:creationId xmlns:a16="http://schemas.microsoft.com/office/drawing/2014/main" id="{6931842A-4387-4010-A446-177E8F615B57}"/>
            </a:ext>
          </a:extLst>
        </xdr:cNvPr>
        <xdr:cNvPicPr>
          <a:picLocks noChangeAspect="1"/>
        </xdr:cNvPicPr>
      </xdr:nvPicPr>
      <xdr:blipFill rotWithShape="1">
        <a:blip xmlns:r="http://schemas.openxmlformats.org/officeDocument/2006/relationships" r:embed="rId2"/>
        <a:srcRect t="2577" b="25586"/>
        <a:stretch/>
      </xdr:blipFill>
      <xdr:spPr>
        <a:xfrm>
          <a:off x="542925" y="15970250"/>
          <a:ext cx="15897225" cy="2478211"/>
        </a:xfrm>
        <a:prstGeom prst="rect">
          <a:avLst/>
        </a:prstGeom>
      </xdr:spPr>
    </xdr:pic>
    <xdr:clientData/>
  </xdr:twoCellAnchor>
  <xdr:twoCellAnchor editAs="oneCell">
    <xdr:from>
      <xdr:col>0</xdr:col>
      <xdr:colOff>600075</xdr:colOff>
      <xdr:row>91</xdr:row>
      <xdr:rowOff>103311</xdr:rowOff>
    </xdr:from>
    <xdr:to>
      <xdr:col>27</xdr:col>
      <xdr:colOff>19050</xdr:colOff>
      <xdr:row>96</xdr:row>
      <xdr:rowOff>65104</xdr:rowOff>
    </xdr:to>
    <xdr:pic>
      <xdr:nvPicPr>
        <xdr:cNvPr id="8" name="Picture 7">
          <a:extLst>
            <a:ext uri="{FF2B5EF4-FFF2-40B4-BE49-F238E27FC236}">
              <a16:creationId xmlns:a16="http://schemas.microsoft.com/office/drawing/2014/main" id="{DC8A8D68-0724-4A75-B688-B3C406409105}"/>
            </a:ext>
          </a:extLst>
        </xdr:cNvPr>
        <xdr:cNvPicPr>
          <a:picLocks noChangeAspect="1"/>
        </xdr:cNvPicPr>
      </xdr:nvPicPr>
      <xdr:blipFill>
        <a:blip xmlns:r="http://schemas.openxmlformats.org/officeDocument/2006/relationships" r:embed="rId3"/>
        <a:stretch>
          <a:fillRect/>
        </a:stretch>
      </xdr:blipFill>
      <xdr:spPr>
        <a:xfrm>
          <a:off x="600075" y="18372261"/>
          <a:ext cx="15878175" cy="866668"/>
        </a:xfrm>
        <a:prstGeom prst="rect">
          <a:avLst/>
        </a:prstGeom>
      </xdr:spPr>
    </xdr:pic>
    <xdr:clientData/>
  </xdr:twoCellAnchor>
  <xdr:twoCellAnchor editAs="oneCell">
    <xdr:from>
      <xdr:col>0</xdr:col>
      <xdr:colOff>606425</xdr:colOff>
      <xdr:row>44</xdr:row>
      <xdr:rowOff>49742</xdr:rowOff>
    </xdr:from>
    <xdr:to>
      <xdr:col>29</xdr:col>
      <xdr:colOff>66966</xdr:colOff>
      <xdr:row>53</xdr:row>
      <xdr:rowOff>113476</xdr:rowOff>
    </xdr:to>
    <xdr:pic>
      <xdr:nvPicPr>
        <xdr:cNvPr id="4" name="Picture 3">
          <a:extLst>
            <a:ext uri="{FF2B5EF4-FFF2-40B4-BE49-F238E27FC236}">
              <a16:creationId xmlns:a16="http://schemas.microsoft.com/office/drawing/2014/main" id="{F3EE73D0-D3A1-41D6-B85C-452322A28E4E}"/>
            </a:ext>
          </a:extLst>
        </xdr:cNvPr>
        <xdr:cNvPicPr>
          <a:picLocks noChangeAspect="1"/>
        </xdr:cNvPicPr>
      </xdr:nvPicPr>
      <xdr:blipFill>
        <a:blip xmlns:r="http://schemas.openxmlformats.org/officeDocument/2006/relationships" r:embed="rId4"/>
        <a:stretch>
          <a:fillRect/>
        </a:stretch>
      </xdr:blipFill>
      <xdr:spPr>
        <a:xfrm>
          <a:off x="606425" y="9585325"/>
          <a:ext cx="17258533" cy="1682984"/>
        </a:xfrm>
        <a:prstGeom prst="rect">
          <a:avLst/>
        </a:prstGeom>
      </xdr:spPr>
    </xdr:pic>
    <xdr:clientData/>
  </xdr:twoCellAnchor>
  <xdr:twoCellAnchor editAs="oneCell">
    <xdr:from>
      <xdr:col>0</xdr:col>
      <xdr:colOff>596900</xdr:colOff>
      <xdr:row>103</xdr:row>
      <xdr:rowOff>45508</xdr:rowOff>
    </xdr:from>
    <xdr:to>
      <xdr:col>29</xdr:col>
      <xdr:colOff>54266</xdr:colOff>
      <xdr:row>111</xdr:row>
      <xdr:rowOff>152888</xdr:rowOff>
    </xdr:to>
    <xdr:pic>
      <xdr:nvPicPr>
        <xdr:cNvPr id="5" name="Picture 4">
          <a:extLst>
            <a:ext uri="{FF2B5EF4-FFF2-40B4-BE49-F238E27FC236}">
              <a16:creationId xmlns:a16="http://schemas.microsoft.com/office/drawing/2014/main" id="{344BD088-A678-4AB8-8986-0D0A91CAB1D9}"/>
            </a:ext>
          </a:extLst>
        </xdr:cNvPr>
        <xdr:cNvPicPr>
          <a:picLocks noChangeAspect="1"/>
        </xdr:cNvPicPr>
      </xdr:nvPicPr>
      <xdr:blipFill rotWithShape="1">
        <a:blip xmlns:r="http://schemas.openxmlformats.org/officeDocument/2006/relationships" r:embed="rId5"/>
        <a:srcRect b="16592"/>
        <a:stretch/>
      </xdr:blipFill>
      <xdr:spPr>
        <a:xfrm>
          <a:off x="596900" y="20352808"/>
          <a:ext cx="17135766" cy="1564705"/>
        </a:xfrm>
        <a:prstGeom prst="rect">
          <a:avLst/>
        </a:prstGeom>
      </xdr:spPr>
    </xdr:pic>
    <xdr:clientData/>
  </xdr:twoCellAnchor>
  <xdr:twoCellAnchor>
    <xdr:from>
      <xdr:col>0</xdr:col>
      <xdr:colOff>587556</xdr:colOff>
      <xdr:row>12</xdr:row>
      <xdr:rowOff>25541</xdr:rowOff>
    </xdr:from>
    <xdr:to>
      <xdr:col>29</xdr:col>
      <xdr:colOff>210141</xdr:colOff>
      <xdr:row>36</xdr:row>
      <xdr:rowOff>19786</xdr:rowOff>
    </xdr:to>
    <xdr:grpSp>
      <xdr:nvGrpSpPr>
        <xdr:cNvPr id="19" name="Group 18">
          <a:extLst>
            <a:ext uri="{FF2B5EF4-FFF2-40B4-BE49-F238E27FC236}">
              <a16:creationId xmlns:a16="http://schemas.microsoft.com/office/drawing/2014/main" id="{9C7E8339-9ED1-4199-BB50-AC92BDFFBCE9}"/>
            </a:ext>
          </a:extLst>
        </xdr:cNvPr>
        <xdr:cNvGrpSpPr/>
      </xdr:nvGrpSpPr>
      <xdr:grpSpPr>
        <a:xfrm>
          <a:off x="587556" y="2457591"/>
          <a:ext cx="17300985" cy="4334470"/>
          <a:chOff x="447643" y="2146712"/>
          <a:chExt cx="17053518" cy="4320509"/>
        </a:xfrm>
      </xdr:grpSpPr>
      <xdr:pic>
        <xdr:nvPicPr>
          <xdr:cNvPr id="17" name="Picture 16">
            <a:extLst>
              <a:ext uri="{FF2B5EF4-FFF2-40B4-BE49-F238E27FC236}">
                <a16:creationId xmlns:a16="http://schemas.microsoft.com/office/drawing/2014/main" id="{5000EB93-7BC5-4D86-916D-2DA345B0243D}"/>
              </a:ext>
            </a:extLst>
          </xdr:cNvPr>
          <xdr:cNvPicPr>
            <a:picLocks noChangeAspect="1"/>
          </xdr:cNvPicPr>
        </xdr:nvPicPr>
        <xdr:blipFill>
          <a:blip xmlns:r="http://schemas.openxmlformats.org/officeDocument/2006/relationships" r:embed="rId6"/>
          <a:stretch>
            <a:fillRect/>
          </a:stretch>
        </xdr:blipFill>
        <xdr:spPr>
          <a:xfrm>
            <a:off x="447643" y="2696208"/>
            <a:ext cx="17053518" cy="2518182"/>
          </a:xfrm>
          <a:prstGeom prst="rect">
            <a:avLst/>
          </a:prstGeom>
        </xdr:spPr>
      </xdr:pic>
      <xdr:grpSp>
        <xdr:nvGrpSpPr>
          <xdr:cNvPr id="33" name="Group 32">
            <a:extLst>
              <a:ext uri="{FF2B5EF4-FFF2-40B4-BE49-F238E27FC236}">
                <a16:creationId xmlns:a16="http://schemas.microsoft.com/office/drawing/2014/main" id="{589BD959-076A-4FA9-B5FA-E4312661EA3E}"/>
              </a:ext>
            </a:extLst>
          </xdr:cNvPr>
          <xdr:cNvGrpSpPr/>
        </xdr:nvGrpSpPr>
        <xdr:grpSpPr>
          <a:xfrm>
            <a:off x="2364865" y="2146712"/>
            <a:ext cx="13734882" cy="4320509"/>
            <a:chOff x="2366704" y="1258244"/>
            <a:chExt cx="13779816" cy="3764790"/>
          </a:xfrm>
        </xdr:grpSpPr>
        <xdr:grpSp>
          <xdr:nvGrpSpPr>
            <xdr:cNvPr id="30" name="Group 29">
              <a:extLst>
                <a:ext uri="{FF2B5EF4-FFF2-40B4-BE49-F238E27FC236}">
                  <a16:creationId xmlns:a16="http://schemas.microsoft.com/office/drawing/2014/main" id="{36FCD793-45A4-440E-BE83-32C23190F606}"/>
                </a:ext>
              </a:extLst>
            </xdr:cNvPr>
            <xdr:cNvGrpSpPr/>
          </xdr:nvGrpSpPr>
          <xdr:grpSpPr>
            <a:xfrm>
              <a:off x="2366704" y="1322784"/>
              <a:ext cx="13779816" cy="3700250"/>
              <a:chOff x="2309889" y="992980"/>
              <a:chExt cx="13782532" cy="3693798"/>
            </a:xfrm>
          </xdr:grpSpPr>
          <xdr:cxnSp macro="">
            <xdr:nvCxnSpPr>
              <xdr:cNvPr id="10" name="Straight Arrow Connector 9">
                <a:extLst>
                  <a:ext uri="{FF2B5EF4-FFF2-40B4-BE49-F238E27FC236}">
                    <a16:creationId xmlns:a16="http://schemas.microsoft.com/office/drawing/2014/main" id="{22906A09-68D4-4C3D-9A75-FAEBFEC7FDBA}"/>
                  </a:ext>
                </a:extLst>
              </xdr:cNvPr>
              <xdr:cNvCxnSpPr>
                <a:cxnSpLocks/>
                <a:stCxn id="11" idx="1"/>
              </xdr:cNvCxnSpPr>
            </xdr:nvCxnSpPr>
            <xdr:spPr>
              <a:xfrm flipH="1">
                <a:off x="9176790" y="1226865"/>
                <a:ext cx="947013" cy="31161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TextBox 10">
                <a:extLst>
                  <a:ext uri="{FF2B5EF4-FFF2-40B4-BE49-F238E27FC236}">
                    <a16:creationId xmlns:a16="http://schemas.microsoft.com/office/drawing/2014/main" id="{EA213402-7C6F-44AD-9D2C-A410CDAB69DE}"/>
                  </a:ext>
                </a:extLst>
              </xdr:cNvPr>
              <xdr:cNvSpPr txBox="1"/>
            </xdr:nvSpPr>
            <xdr:spPr>
              <a:xfrm>
                <a:off x="10123803" y="992980"/>
                <a:ext cx="2933137" cy="46777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Links back to the Summary worksheet for</a:t>
                </a:r>
                <a:r>
                  <a:rPr lang="en-GB" sz="1100" baseline="0"/>
                  <a:t> this pathway to view the summary GHG result.</a:t>
                </a:r>
                <a:endParaRPr lang="en-GB" sz="1100"/>
              </a:p>
            </xdr:txBody>
          </xdr:sp>
          <xdr:sp macro="" textlink="">
            <xdr:nvSpPr>
              <xdr:cNvPr id="13" name="TextBox 12">
                <a:extLst>
                  <a:ext uri="{FF2B5EF4-FFF2-40B4-BE49-F238E27FC236}">
                    <a16:creationId xmlns:a16="http://schemas.microsoft.com/office/drawing/2014/main" id="{AE0D64BA-70B9-427F-91AF-1A7F7E4D5CFC}"/>
                  </a:ext>
                </a:extLst>
              </xdr:cNvPr>
              <xdr:cNvSpPr txBox="1"/>
            </xdr:nvSpPr>
            <xdr:spPr>
              <a:xfrm>
                <a:off x="8753178" y="4265876"/>
                <a:ext cx="3125220" cy="420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here based on the main feedstock input and main product output.</a:t>
                </a:r>
                <a:endParaRPr lang="en-GB" sz="1100"/>
              </a:p>
            </xdr:txBody>
          </xdr:sp>
          <xdr:sp macro="" textlink="">
            <xdr:nvSpPr>
              <xdr:cNvPr id="14" name="TextBox 13">
                <a:extLst>
                  <a:ext uri="{FF2B5EF4-FFF2-40B4-BE49-F238E27FC236}">
                    <a16:creationId xmlns:a16="http://schemas.microsoft.com/office/drawing/2014/main" id="{B005D0A1-6862-4DF5-B924-38EC872D4B96}"/>
                  </a:ext>
                </a:extLst>
              </xdr:cNvPr>
              <xdr:cNvSpPr txBox="1"/>
            </xdr:nvSpPr>
            <xdr:spPr>
              <a:xfrm>
                <a:off x="12278117" y="4120941"/>
                <a:ext cx="3814304" cy="414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allocation factor is calculated here based on the LHV energy content of all products and co-products.</a:t>
                </a:r>
                <a:endParaRPr lang="en-GB" sz="1100"/>
              </a:p>
            </xdr:txBody>
          </xdr:sp>
          <xdr:cxnSp macro="">
            <xdr:nvCxnSpPr>
              <xdr:cNvPr id="15" name="Straight Arrow Connector 14">
                <a:extLst>
                  <a:ext uri="{FF2B5EF4-FFF2-40B4-BE49-F238E27FC236}">
                    <a16:creationId xmlns:a16="http://schemas.microsoft.com/office/drawing/2014/main" id="{15145A3E-8E9D-47C0-B1C2-E3FDDCB71A8F}"/>
                  </a:ext>
                </a:extLst>
              </xdr:cNvPr>
              <xdr:cNvCxnSpPr>
                <a:stCxn id="13" idx="0"/>
              </xdr:cNvCxnSpPr>
            </xdr:nvCxnSpPr>
            <xdr:spPr>
              <a:xfrm flipV="1">
                <a:off x="10315788" y="2863143"/>
                <a:ext cx="397648" cy="140273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 name="Straight Arrow Connector 17">
                <a:extLst>
                  <a:ext uri="{FF2B5EF4-FFF2-40B4-BE49-F238E27FC236}">
                    <a16:creationId xmlns:a16="http://schemas.microsoft.com/office/drawing/2014/main" id="{C7B4B7B5-C136-4967-B5B0-6964054DD5FA}"/>
                  </a:ext>
                </a:extLst>
              </xdr:cNvPr>
              <xdr:cNvCxnSpPr>
                <a:stCxn id="14" idx="0"/>
              </xdr:cNvCxnSpPr>
            </xdr:nvCxnSpPr>
            <xdr:spPr>
              <a:xfrm flipH="1" flipV="1">
                <a:off x="12022354" y="2881480"/>
                <a:ext cx="2162915" cy="123946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3" name="TextBox 22">
                <a:extLst>
                  <a:ext uri="{FF2B5EF4-FFF2-40B4-BE49-F238E27FC236}">
                    <a16:creationId xmlns:a16="http://schemas.microsoft.com/office/drawing/2014/main" id="{C5F7AE44-F780-4B38-BA7F-7BE74E689D3F}"/>
                  </a:ext>
                </a:extLst>
              </xdr:cNvPr>
              <xdr:cNvSpPr txBox="1"/>
            </xdr:nvSpPr>
            <xdr:spPr>
              <a:xfrm>
                <a:off x="2309889" y="3938994"/>
                <a:ext cx="1943562" cy="41203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need</a:t>
                </a:r>
                <a:r>
                  <a:rPr lang="en-GB" sz="1100" b="1" baseline="0"/>
                  <a:t> to be provided in tonnes/yr or MWh/yr.</a:t>
                </a:r>
                <a:endParaRPr lang="en-GB" sz="1100" b="1"/>
              </a:p>
            </xdr:txBody>
          </xdr:sp>
          <xdr:cxnSp macro="">
            <xdr:nvCxnSpPr>
              <xdr:cNvPr id="24" name="Straight Arrow Connector 23">
                <a:extLst>
                  <a:ext uri="{FF2B5EF4-FFF2-40B4-BE49-F238E27FC236}">
                    <a16:creationId xmlns:a16="http://schemas.microsoft.com/office/drawing/2014/main" id="{E495C13A-6722-43C9-ACFE-CFF0894EF7C9}"/>
                  </a:ext>
                </a:extLst>
              </xdr:cNvPr>
              <xdr:cNvCxnSpPr>
                <a:stCxn id="23" idx="0"/>
              </xdr:cNvCxnSpPr>
            </xdr:nvCxnSpPr>
            <xdr:spPr>
              <a:xfrm flipH="1" flipV="1">
                <a:off x="3202080" y="3572292"/>
                <a:ext cx="79591" cy="36670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28" name="TextBox 27">
              <a:extLst>
                <a:ext uri="{FF2B5EF4-FFF2-40B4-BE49-F238E27FC236}">
                  <a16:creationId xmlns:a16="http://schemas.microsoft.com/office/drawing/2014/main" id="{3D591EC8-CEC1-47B2-9FA4-25389DF1AAD1}"/>
                </a:ext>
              </a:extLst>
            </xdr:cNvPr>
            <xdr:cNvSpPr txBox="1"/>
          </xdr:nvSpPr>
          <xdr:spPr>
            <a:xfrm>
              <a:off x="4079730" y="1258244"/>
              <a:ext cx="2293913" cy="65611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Provide as much detail on the values reported including any sources of evidence in these columns.</a:t>
              </a:r>
            </a:p>
          </xdr:txBody>
        </xdr:sp>
        <xdr:cxnSp macro="">
          <xdr:nvCxnSpPr>
            <xdr:cNvPr id="29" name="Straight Arrow Connector 28">
              <a:extLst>
                <a:ext uri="{FF2B5EF4-FFF2-40B4-BE49-F238E27FC236}">
                  <a16:creationId xmlns:a16="http://schemas.microsoft.com/office/drawing/2014/main" id="{CCC8DE4C-5DA6-4BB4-AA25-25C803D5D61B}"/>
                </a:ext>
              </a:extLst>
            </xdr:cNvPr>
            <xdr:cNvCxnSpPr>
              <a:stCxn id="28" idx="2"/>
            </xdr:cNvCxnSpPr>
          </xdr:nvCxnSpPr>
          <xdr:spPr>
            <a:xfrm>
              <a:off x="5226686" y="1914355"/>
              <a:ext cx="429637" cy="29216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8</xdr:col>
      <xdr:colOff>159883</xdr:colOff>
      <xdr:row>16</xdr:row>
      <xdr:rowOff>26055</xdr:rowOff>
    </xdr:from>
    <xdr:to>
      <xdr:col>8</xdr:col>
      <xdr:colOff>541447</xdr:colOff>
      <xdr:row>17</xdr:row>
      <xdr:rowOff>160337</xdr:rowOff>
    </xdr:to>
    <xdr:cxnSp macro="">
      <xdr:nvCxnSpPr>
        <xdr:cNvPr id="37" name="Straight Arrow Connector 36">
          <a:extLst>
            <a:ext uri="{FF2B5EF4-FFF2-40B4-BE49-F238E27FC236}">
              <a16:creationId xmlns:a16="http://schemas.microsoft.com/office/drawing/2014/main" id="{BC679702-A9FA-4EED-9391-39816D5AEB6C}"/>
            </a:ext>
          </a:extLst>
        </xdr:cNvPr>
        <xdr:cNvCxnSpPr>
          <a:stCxn id="28" idx="2"/>
        </xdr:cNvCxnSpPr>
      </xdr:nvCxnSpPr>
      <xdr:spPr>
        <a:xfrm flipH="1">
          <a:off x="5008974" y="2978805"/>
          <a:ext cx="381564" cy="31612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420380</xdr:colOff>
      <xdr:row>109</xdr:row>
      <xdr:rowOff>45400</xdr:rowOff>
    </xdr:from>
    <xdr:to>
      <xdr:col>25</xdr:col>
      <xdr:colOff>561924</xdr:colOff>
      <xdr:row>120</xdr:row>
      <xdr:rowOff>161930</xdr:rowOff>
    </xdr:to>
    <xdr:grpSp>
      <xdr:nvGrpSpPr>
        <xdr:cNvPr id="26" name="Group 25">
          <a:extLst>
            <a:ext uri="{FF2B5EF4-FFF2-40B4-BE49-F238E27FC236}">
              <a16:creationId xmlns:a16="http://schemas.microsoft.com/office/drawing/2014/main" id="{B39A01A0-820B-423C-B065-FC87A78AB698}"/>
            </a:ext>
          </a:extLst>
        </xdr:cNvPr>
        <xdr:cNvGrpSpPr/>
      </xdr:nvGrpSpPr>
      <xdr:grpSpPr>
        <a:xfrm>
          <a:off x="1029980" y="21441725"/>
          <a:ext cx="14775119" cy="2119955"/>
          <a:chOff x="1183580" y="19305422"/>
          <a:chExt cx="14605095" cy="2004668"/>
        </a:xfrm>
      </xdr:grpSpPr>
      <xdr:sp macro="" textlink="">
        <xdr:nvSpPr>
          <xdr:cNvPr id="634" name="TextBox 82">
            <a:extLst>
              <a:ext uri="{FF2B5EF4-FFF2-40B4-BE49-F238E27FC236}">
                <a16:creationId xmlns:a16="http://schemas.microsoft.com/office/drawing/2014/main" id="{7B9787A2-993A-4976-BB8F-80C45774F216}"/>
              </a:ext>
            </a:extLst>
          </xdr:cNvPr>
          <xdr:cNvSpPr txBox="1"/>
        </xdr:nvSpPr>
        <xdr:spPr>
          <a:xfrm>
            <a:off x="1183580" y="20889528"/>
            <a:ext cx="3294121" cy="42056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Other characteristics of the process that are not necessarily inputs or outputs </a:t>
            </a:r>
            <a:r>
              <a:rPr lang="en-GB" sz="1100" baseline="0"/>
              <a:t>should be provided here. </a:t>
            </a:r>
            <a:endParaRPr lang="en-GB" sz="1100"/>
          </a:p>
        </xdr:txBody>
      </xdr:sp>
      <xdr:cxnSp macro="">
        <xdr:nvCxnSpPr>
          <xdr:cNvPr id="791" name="Straight Arrow Connector 83">
            <a:extLst>
              <a:ext uri="{FF2B5EF4-FFF2-40B4-BE49-F238E27FC236}">
                <a16:creationId xmlns:a16="http://schemas.microsoft.com/office/drawing/2014/main" id="{AA3C0775-1138-4EE0-A183-0699967DF0F9}"/>
              </a:ext>
            </a:extLst>
          </xdr:cNvPr>
          <xdr:cNvCxnSpPr>
            <a:stCxn id="634" idx="0"/>
          </xdr:cNvCxnSpPr>
        </xdr:nvCxnSpPr>
        <xdr:spPr>
          <a:xfrm flipV="1">
            <a:off x="2830641" y="19920656"/>
            <a:ext cx="1050894" cy="96887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6" name="TextBox 86">
            <a:extLst>
              <a:ext uri="{FF2B5EF4-FFF2-40B4-BE49-F238E27FC236}">
                <a16:creationId xmlns:a16="http://schemas.microsoft.com/office/drawing/2014/main" id="{320F206C-2550-411F-ABD7-307FBE157B76}"/>
              </a:ext>
            </a:extLst>
          </xdr:cNvPr>
          <xdr:cNvSpPr txBox="1"/>
        </xdr:nvSpPr>
        <xdr:spPr>
          <a:xfrm>
            <a:off x="11679525" y="20201458"/>
            <a:ext cx="3235512" cy="6504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total is calculated at the bottom of each processing worksheet and is linked to the relevant</a:t>
            </a:r>
            <a:r>
              <a:rPr lang="en-GB" sz="1100" baseline="0"/>
              <a:t> Sum</a:t>
            </a:r>
            <a:r>
              <a:rPr lang="en-GB" sz="1100"/>
              <a:t>mary worksheet to provide the result.</a:t>
            </a:r>
          </a:p>
        </xdr:txBody>
      </xdr:sp>
      <xdr:sp macro="" textlink="">
        <xdr:nvSpPr>
          <xdr:cNvPr id="799" name="Rectangle 92">
            <a:extLst>
              <a:ext uri="{FF2B5EF4-FFF2-40B4-BE49-F238E27FC236}">
                <a16:creationId xmlns:a16="http://schemas.microsoft.com/office/drawing/2014/main" id="{A76ADB7C-9270-4F8F-AD9D-CCB31706C4D7}"/>
              </a:ext>
            </a:extLst>
          </xdr:cNvPr>
          <xdr:cNvSpPr/>
        </xdr:nvSpPr>
        <xdr:spPr>
          <a:xfrm>
            <a:off x="14125534" y="19305422"/>
            <a:ext cx="1663141" cy="283017"/>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794" name="Straight Arrow Connector 88">
            <a:extLst>
              <a:ext uri="{FF2B5EF4-FFF2-40B4-BE49-F238E27FC236}">
                <a16:creationId xmlns:a16="http://schemas.microsoft.com/office/drawing/2014/main" id="{C12A26EC-85FF-45A0-BAA5-208C78741890}"/>
              </a:ext>
            </a:extLst>
          </xdr:cNvPr>
          <xdr:cNvCxnSpPr>
            <a:stCxn id="796" idx="0"/>
          </xdr:cNvCxnSpPr>
        </xdr:nvCxnSpPr>
        <xdr:spPr>
          <a:xfrm flipV="1">
            <a:off x="13297283" y="19521460"/>
            <a:ext cx="771342" cy="67999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301625</xdr:colOff>
      <xdr:row>117</xdr:row>
      <xdr:rowOff>57150</xdr:rowOff>
    </xdr:from>
    <xdr:to>
      <xdr:col>14</xdr:col>
      <xdr:colOff>139700</xdr:colOff>
      <xdr:row>121</xdr:row>
      <xdr:rowOff>114300</xdr:rowOff>
    </xdr:to>
    <xdr:sp macro="" textlink="">
      <xdr:nvSpPr>
        <xdr:cNvPr id="80" name="TextBox 7">
          <a:extLst>
            <a:ext uri="{FF2B5EF4-FFF2-40B4-BE49-F238E27FC236}">
              <a16:creationId xmlns:a16="http://schemas.microsoft.com/office/drawing/2014/main" id="{51A0F5C6-24F7-41A3-A6E1-EB7699041926}"/>
            </a:ext>
          </a:extLst>
        </xdr:cNvPr>
        <xdr:cNvSpPr txBox="1"/>
      </xdr:nvSpPr>
      <xdr:spPr>
        <a:xfrm>
          <a:off x="5178425" y="22917150"/>
          <a:ext cx="3495675" cy="7810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CO</a:t>
          </a:r>
          <a:r>
            <a:rPr lang="en-GB" sz="1100" baseline="-25000"/>
            <a:t>2</a:t>
          </a:r>
          <a:r>
            <a:rPr lang="en-GB" sz="1100" baseline="0"/>
            <a:t> capture rate is linked to the response given in the Initial questions worksheet. </a:t>
          </a:r>
          <a:r>
            <a:rPr lang="en-GB" sz="1100" baseline="0">
              <a:solidFill>
                <a:schemeClr val="dk1"/>
              </a:solidFill>
              <a:effectLst/>
              <a:latin typeface="+mn-lt"/>
              <a:ea typeface="+mn-ea"/>
              <a:cs typeface="+mn-cs"/>
            </a:rPr>
            <a:t>The capture rate is used to calculate the 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 captured in the 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 sequestration category.</a:t>
          </a:r>
          <a:endParaRPr lang="en-GB" sz="1100"/>
        </a:p>
      </xdr:txBody>
    </xdr:sp>
    <xdr:clientData/>
  </xdr:twoCellAnchor>
  <xdr:twoCellAnchor>
    <xdr:from>
      <xdr:col>1</xdr:col>
      <xdr:colOff>0</xdr:colOff>
      <xdr:row>57</xdr:row>
      <xdr:rowOff>135163</xdr:rowOff>
    </xdr:from>
    <xdr:to>
      <xdr:col>29</xdr:col>
      <xdr:colOff>227489</xdr:colOff>
      <xdr:row>69</xdr:row>
      <xdr:rowOff>130368</xdr:rowOff>
    </xdr:to>
    <xdr:grpSp>
      <xdr:nvGrpSpPr>
        <xdr:cNvPr id="461" name="Group 460">
          <a:extLst>
            <a:ext uri="{FF2B5EF4-FFF2-40B4-BE49-F238E27FC236}">
              <a16:creationId xmlns:a16="http://schemas.microsoft.com/office/drawing/2014/main" id="{104FF39D-F59B-431B-8D36-5E751171A5DF}"/>
            </a:ext>
          </a:extLst>
        </xdr:cNvPr>
        <xdr:cNvGrpSpPr/>
      </xdr:nvGrpSpPr>
      <xdr:grpSpPr>
        <a:xfrm>
          <a:off x="609600" y="12012838"/>
          <a:ext cx="17296289" cy="2176430"/>
          <a:chOff x="612321" y="11660413"/>
          <a:chExt cx="17372489" cy="2131526"/>
        </a:xfrm>
      </xdr:grpSpPr>
      <xdr:pic>
        <xdr:nvPicPr>
          <xdr:cNvPr id="43" name="Picture 42">
            <a:extLst>
              <a:ext uri="{FF2B5EF4-FFF2-40B4-BE49-F238E27FC236}">
                <a16:creationId xmlns:a16="http://schemas.microsoft.com/office/drawing/2014/main" id="{54464ABD-03D6-453F-A6FF-5BBE5336C093}"/>
              </a:ext>
            </a:extLst>
          </xdr:cNvPr>
          <xdr:cNvPicPr>
            <a:picLocks noChangeAspect="1"/>
          </xdr:cNvPicPr>
        </xdr:nvPicPr>
        <xdr:blipFill>
          <a:blip xmlns:r="http://schemas.openxmlformats.org/officeDocument/2006/relationships" r:embed="rId7"/>
          <a:stretch>
            <a:fillRect/>
          </a:stretch>
        </xdr:blipFill>
        <xdr:spPr>
          <a:xfrm>
            <a:off x="619578" y="12420145"/>
            <a:ext cx="17356954" cy="1371794"/>
          </a:xfrm>
          <a:prstGeom prst="rect">
            <a:avLst/>
          </a:prstGeom>
        </xdr:spPr>
      </xdr:pic>
      <xdr:pic>
        <xdr:nvPicPr>
          <xdr:cNvPr id="67" name="Picture 66">
            <a:extLst>
              <a:ext uri="{FF2B5EF4-FFF2-40B4-BE49-F238E27FC236}">
                <a16:creationId xmlns:a16="http://schemas.microsoft.com/office/drawing/2014/main" id="{A11902EE-D9DD-43AA-AA32-3850E4C7245B}"/>
              </a:ext>
            </a:extLst>
          </xdr:cNvPr>
          <xdr:cNvPicPr>
            <a:picLocks noChangeAspect="1"/>
          </xdr:cNvPicPr>
        </xdr:nvPicPr>
        <xdr:blipFill rotWithShape="1">
          <a:blip xmlns:r="http://schemas.openxmlformats.org/officeDocument/2006/relationships" r:embed="rId6"/>
          <a:srcRect t="15398" b="50240"/>
          <a:stretch/>
        </xdr:blipFill>
        <xdr:spPr>
          <a:xfrm>
            <a:off x="612321" y="11660413"/>
            <a:ext cx="17372489" cy="860743"/>
          </a:xfrm>
          <a:prstGeom prst="rect">
            <a:avLst/>
          </a:prstGeom>
        </xdr:spPr>
      </xdr:pic>
    </xdr:grpSp>
    <xdr:clientData/>
  </xdr:twoCellAnchor>
  <xdr:twoCellAnchor>
    <xdr:from>
      <xdr:col>1</xdr:col>
      <xdr:colOff>0</xdr:colOff>
      <xdr:row>98</xdr:row>
      <xdr:rowOff>149677</xdr:rowOff>
    </xdr:from>
    <xdr:to>
      <xdr:col>29</xdr:col>
      <xdr:colOff>227489</xdr:colOff>
      <xdr:row>103</xdr:row>
      <xdr:rowOff>173595</xdr:rowOff>
    </xdr:to>
    <xdr:pic>
      <xdr:nvPicPr>
        <xdr:cNvPr id="70" name="Picture 69">
          <a:extLst>
            <a:ext uri="{FF2B5EF4-FFF2-40B4-BE49-F238E27FC236}">
              <a16:creationId xmlns:a16="http://schemas.microsoft.com/office/drawing/2014/main" id="{196800EA-F951-4E70-BDF9-33B24CDC092F}"/>
            </a:ext>
          </a:extLst>
        </xdr:cNvPr>
        <xdr:cNvPicPr>
          <a:picLocks noChangeAspect="1"/>
        </xdr:cNvPicPr>
      </xdr:nvPicPr>
      <xdr:blipFill rotWithShape="1">
        <a:blip xmlns:r="http://schemas.openxmlformats.org/officeDocument/2006/relationships" r:embed="rId6"/>
        <a:srcRect t="13198" b="50240"/>
        <a:stretch/>
      </xdr:blipFill>
      <xdr:spPr>
        <a:xfrm>
          <a:off x="613833" y="19877010"/>
          <a:ext cx="17414823" cy="934085"/>
        </a:xfrm>
        <a:prstGeom prst="rect">
          <a:avLst/>
        </a:prstGeom>
      </xdr:spPr>
    </xdr:pic>
    <xdr:clientData/>
  </xdr:twoCellAnchor>
  <xdr:twoCellAnchor>
    <xdr:from>
      <xdr:col>13</xdr:col>
      <xdr:colOff>523971</xdr:colOff>
      <xdr:row>80</xdr:row>
      <xdr:rowOff>47626</xdr:rowOff>
    </xdr:from>
    <xdr:to>
      <xdr:col>25</xdr:col>
      <xdr:colOff>65943</xdr:colOff>
      <xdr:row>98</xdr:row>
      <xdr:rowOff>143881</xdr:rowOff>
    </xdr:to>
    <xdr:grpSp>
      <xdr:nvGrpSpPr>
        <xdr:cNvPr id="25" name="Group 24">
          <a:extLst>
            <a:ext uri="{FF2B5EF4-FFF2-40B4-BE49-F238E27FC236}">
              <a16:creationId xmlns:a16="http://schemas.microsoft.com/office/drawing/2014/main" id="{54F9296A-171C-48E2-B9DA-E8F1EE187C30}"/>
            </a:ext>
          </a:extLst>
        </xdr:cNvPr>
        <xdr:cNvGrpSpPr/>
      </xdr:nvGrpSpPr>
      <xdr:grpSpPr>
        <a:xfrm>
          <a:off x="8445596" y="16141701"/>
          <a:ext cx="6863522" cy="3391905"/>
          <a:chOff x="8454508" y="15240994"/>
          <a:chExt cx="6778383" cy="3951436"/>
        </a:xfrm>
      </xdr:grpSpPr>
      <xdr:sp macro="" textlink="">
        <xdr:nvSpPr>
          <xdr:cNvPr id="802" name="TextBox 75">
            <a:extLst>
              <a:ext uri="{FF2B5EF4-FFF2-40B4-BE49-F238E27FC236}">
                <a16:creationId xmlns:a16="http://schemas.microsoft.com/office/drawing/2014/main" id="{C6F02EC7-9F47-42ED-9DEB-79132723F0C0}"/>
              </a:ext>
            </a:extLst>
          </xdr:cNvPr>
          <xdr:cNvSpPr txBox="1"/>
        </xdr:nvSpPr>
        <xdr:spPr>
          <a:xfrm>
            <a:off x="11767206" y="18494716"/>
            <a:ext cx="3465685" cy="6776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emissions factor for sequestered</a:t>
            </a:r>
            <a:r>
              <a:rPr lang="en-GB" sz="1100" baseline="0"/>
              <a:t> CO</a:t>
            </a:r>
            <a:r>
              <a:rPr lang="en-GB" sz="1100" baseline="-25000"/>
              <a:t>2</a:t>
            </a:r>
            <a:r>
              <a:rPr lang="en-GB" sz="1100" baseline="0"/>
              <a:t> will be negative to result in an emissions credit for this category.</a:t>
            </a:r>
            <a:endParaRPr lang="en-GB" sz="1100"/>
          </a:p>
        </xdr:txBody>
      </xdr:sp>
      <xdr:cxnSp macro="">
        <xdr:nvCxnSpPr>
          <xdr:cNvPr id="220" name="Straight Arrow Connector 77">
            <a:extLst>
              <a:ext uri="{FF2B5EF4-FFF2-40B4-BE49-F238E27FC236}">
                <a16:creationId xmlns:a16="http://schemas.microsoft.com/office/drawing/2014/main" id="{04A937D4-AB36-4294-B3CC-25931D0CC6FF}"/>
              </a:ext>
            </a:extLst>
          </xdr:cNvPr>
          <xdr:cNvCxnSpPr>
            <a:stCxn id="802" idx="0"/>
          </xdr:cNvCxnSpPr>
        </xdr:nvCxnSpPr>
        <xdr:spPr>
          <a:xfrm flipV="1">
            <a:off x="13500049" y="17951817"/>
            <a:ext cx="686269" cy="54289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82" name="Straight Arrow Connector 80">
            <a:extLst>
              <a:ext uri="{FF2B5EF4-FFF2-40B4-BE49-F238E27FC236}">
                <a16:creationId xmlns:a16="http://schemas.microsoft.com/office/drawing/2014/main" id="{9B9B0303-6B67-43AE-B252-798FA47405D3}"/>
              </a:ext>
            </a:extLst>
          </xdr:cNvPr>
          <xdr:cNvCxnSpPr>
            <a:stCxn id="802" idx="0"/>
          </xdr:cNvCxnSpPr>
        </xdr:nvCxnSpPr>
        <xdr:spPr>
          <a:xfrm flipH="1" flipV="1">
            <a:off x="12418311" y="18103505"/>
            <a:ext cx="1081737" cy="39121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0" name="TextBox 75">
            <a:extLst>
              <a:ext uri="{FF2B5EF4-FFF2-40B4-BE49-F238E27FC236}">
                <a16:creationId xmlns:a16="http://schemas.microsoft.com/office/drawing/2014/main" id="{08756D53-79C4-49D2-88F0-5E53957C88B1}"/>
              </a:ext>
            </a:extLst>
          </xdr:cNvPr>
          <xdr:cNvSpPr txBox="1"/>
        </xdr:nvSpPr>
        <xdr:spPr>
          <a:xfrm>
            <a:off x="8454508" y="18405725"/>
            <a:ext cx="2528233" cy="78670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CO</a:t>
            </a:r>
            <a:r>
              <a:rPr lang="en-GB" sz="1100" baseline="-25000"/>
              <a:t>2</a:t>
            </a:r>
            <a:r>
              <a:rPr lang="en-GB" sz="1100"/>
              <a:t> generated will have a</a:t>
            </a:r>
            <a:r>
              <a:rPr lang="en-GB" sz="1100" baseline="0"/>
              <a:t> GHG intensity of</a:t>
            </a:r>
            <a:r>
              <a:rPr lang="en-GB" sz="1100"/>
              <a:t> 0</a:t>
            </a:r>
            <a:r>
              <a:rPr lang="en-GB" sz="1100" baseline="0"/>
              <a:t> gCO</a:t>
            </a:r>
            <a:r>
              <a:rPr lang="en-GB" sz="1100" baseline="-25000"/>
              <a:t>2</a:t>
            </a:r>
            <a:r>
              <a:rPr lang="en-GB" sz="1100" baseline="0"/>
              <a:t>/kg for biogenic, and 1,000 gCO</a:t>
            </a:r>
            <a:r>
              <a:rPr lang="en-GB" sz="1100" baseline="-25000"/>
              <a:t>2</a:t>
            </a:r>
            <a:r>
              <a:rPr lang="en-GB" sz="1100" baseline="0"/>
              <a:t>/kg for fossil.</a:t>
            </a:r>
            <a:endParaRPr lang="en-GB" sz="1100"/>
          </a:p>
        </xdr:txBody>
      </xdr:sp>
      <xdr:cxnSp macro="">
        <xdr:nvCxnSpPr>
          <xdr:cNvPr id="41" name="Straight Arrow Connector 80">
            <a:extLst>
              <a:ext uri="{FF2B5EF4-FFF2-40B4-BE49-F238E27FC236}">
                <a16:creationId xmlns:a16="http://schemas.microsoft.com/office/drawing/2014/main" id="{8704DA61-4D3A-4A32-AFE8-01E8EDA8A8D6}"/>
              </a:ext>
            </a:extLst>
          </xdr:cNvPr>
          <xdr:cNvCxnSpPr>
            <a:stCxn id="40" idx="0"/>
          </xdr:cNvCxnSpPr>
        </xdr:nvCxnSpPr>
        <xdr:spPr>
          <a:xfrm flipV="1">
            <a:off x="9718624" y="15240994"/>
            <a:ext cx="2313701" cy="316473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6846</xdr:colOff>
      <xdr:row>40</xdr:row>
      <xdr:rowOff>78009</xdr:rowOff>
    </xdr:from>
    <xdr:to>
      <xdr:col>29</xdr:col>
      <xdr:colOff>230737</xdr:colOff>
      <xdr:row>56</xdr:row>
      <xdr:rowOff>171702</xdr:rowOff>
    </xdr:to>
    <xdr:grpSp>
      <xdr:nvGrpSpPr>
        <xdr:cNvPr id="3" name="Group 2">
          <a:extLst>
            <a:ext uri="{FF2B5EF4-FFF2-40B4-BE49-F238E27FC236}">
              <a16:creationId xmlns:a16="http://schemas.microsoft.com/office/drawing/2014/main" id="{A9B27359-6CFB-4BEB-9ECF-125885D77F49}"/>
            </a:ext>
          </a:extLst>
        </xdr:cNvPr>
        <xdr:cNvGrpSpPr/>
      </xdr:nvGrpSpPr>
      <xdr:grpSpPr>
        <a:xfrm>
          <a:off x="619621" y="8860059"/>
          <a:ext cx="17289516" cy="2998818"/>
          <a:chOff x="617207" y="8841009"/>
          <a:chExt cx="17226484" cy="2962579"/>
        </a:xfrm>
      </xdr:grpSpPr>
      <xdr:grpSp>
        <xdr:nvGrpSpPr>
          <xdr:cNvPr id="31" name="Group 30">
            <a:extLst>
              <a:ext uri="{FF2B5EF4-FFF2-40B4-BE49-F238E27FC236}">
                <a16:creationId xmlns:a16="http://schemas.microsoft.com/office/drawing/2014/main" id="{FC4DCCCD-CF3B-4007-B065-528C31F4FB10}"/>
              </a:ext>
            </a:extLst>
          </xdr:cNvPr>
          <xdr:cNvGrpSpPr/>
        </xdr:nvGrpSpPr>
        <xdr:grpSpPr>
          <a:xfrm>
            <a:off x="617207" y="8841009"/>
            <a:ext cx="17226484" cy="2962579"/>
            <a:chOff x="623820" y="8705793"/>
            <a:chExt cx="17237020" cy="3807689"/>
          </a:xfrm>
        </xdr:grpSpPr>
        <xdr:grpSp>
          <xdr:nvGrpSpPr>
            <xdr:cNvPr id="36" name="Group 35">
              <a:extLst>
                <a:ext uri="{FF2B5EF4-FFF2-40B4-BE49-F238E27FC236}">
                  <a16:creationId xmlns:a16="http://schemas.microsoft.com/office/drawing/2014/main" id="{6B00DE6B-E9F2-45B6-9FA8-42D8E2A6D745}"/>
                </a:ext>
              </a:extLst>
            </xdr:cNvPr>
            <xdr:cNvGrpSpPr/>
          </xdr:nvGrpSpPr>
          <xdr:grpSpPr>
            <a:xfrm>
              <a:off x="9282678" y="11627525"/>
              <a:ext cx="8096221" cy="885957"/>
              <a:chOff x="9310102" y="11599744"/>
              <a:chExt cx="8120220" cy="835961"/>
            </a:xfrm>
          </xdr:grpSpPr>
          <xdr:sp macro="" textlink="">
            <xdr:nvSpPr>
              <xdr:cNvPr id="6" name="TextBox 64">
                <a:extLst>
                  <a:ext uri="{FF2B5EF4-FFF2-40B4-BE49-F238E27FC236}">
                    <a16:creationId xmlns:a16="http://schemas.microsoft.com/office/drawing/2014/main" id="{CC5B5F2A-5BE1-4BA6-9B6A-E926F9E72E90}"/>
                  </a:ext>
                </a:extLst>
              </xdr:cNvPr>
              <xdr:cNvSpPr txBox="1"/>
            </xdr:nvSpPr>
            <xdr:spPr>
              <a:xfrm>
                <a:off x="9310102" y="11599744"/>
                <a:ext cx="4151874" cy="74422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sp macro="" textlink="">
            <xdr:nvSpPr>
              <xdr:cNvPr id="801" name="TextBox 69">
                <a:extLst>
                  <a:ext uri="{FF2B5EF4-FFF2-40B4-BE49-F238E27FC236}">
                    <a16:creationId xmlns:a16="http://schemas.microsoft.com/office/drawing/2014/main" id="{C55747E7-F778-48B7-BED8-DA06F642957F}"/>
                  </a:ext>
                </a:extLst>
              </xdr:cNvPr>
              <xdr:cNvSpPr txBox="1"/>
            </xdr:nvSpPr>
            <xdr:spPr>
              <a:xfrm>
                <a:off x="15245081" y="11840410"/>
                <a:ext cx="2185241" cy="59529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total emissions from each category is calculated here.</a:t>
                </a:r>
              </a:p>
            </xdr:txBody>
          </xdr:sp>
        </xdr:grpSp>
        <xdr:pic>
          <xdr:nvPicPr>
            <xdr:cNvPr id="59" name="Picture 58">
              <a:extLst>
                <a:ext uri="{FF2B5EF4-FFF2-40B4-BE49-F238E27FC236}">
                  <a16:creationId xmlns:a16="http://schemas.microsoft.com/office/drawing/2014/main" id="{66B9F30A-8B2F-4516-B753-874C737C48B9}"/>
                </a:ext>
              </a:extLst>
            </xdr:cNvPr>
            <xdr:cNvPicPr>
              <a:picLocks noChangeAspect="1"/>
            </xdr:cNvPicPr>
          </xdr:nvPicPr>
          <xdr:blipFill rotWithShape="1">
            <a:blip xmlns:r="http://schemas.openxmlformats.org/officeDocument/2006/relationships" r:embed="rId6"/>
            <a:srcRect t="14298" b="50239"/>
            <a:stretch/>
          </xdr:blipFill>
          <xdr:spPr>
            <a:xfrm>
              <a:off x="623820" y="8705793"/>
              <a:ext cx="17237020" cy="901896"/>
            </a:xfrm>
            <a:prstGeom prst="rect">
              <a:avLst/>
            </a:prstGeom>
          </xdr:spPr>
        </xdr:pic>
      </xdr:grpSp>
      <xdr:sp macro="" textlink="">
        <xdr:nvSpPr>
          <xdr:cNvPr id="54" name="Rectangle 92">
            <a:extLst>
              <a:ext uri="{FF2B5EF4-FFF2-40B4-BE49-F238E27FC236}">
                <a16:creationId xmlns:a16="http://schemas.microsoft.com/office/drawing/2014/main" id="{FE0E365D-BA33-4817-8A61-3364D6056831}"/>
              </a:ext>
            </a:extLst>
          </xdr:cNvPr>
          <xdr:cNvSpPr/>
        </xdr:nvSpPr>
        <xdr:spPr>
          <a:xfrm>
            <a:off x="14754955" y="9544652"/>
            <a:ext cx="994569" cy="18097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25</xdr:col>
      <xdr:colOff>582084</xdr:colOff>
      <xdr:row>45</xdr:row>
      <xdr:rowOff>158750</xdr:rowOff>
    </xdr:from>
    <xdr:to>
      <xdr:col>26</xdr:col>
      <xdr:colOff>485314</xdr:colOff>
      <xdr:row>54</xdr:row>
      <xdr:rowOff>37290</xdr:rowOff>
    </xdr:to>
    <xdr:cxnSp macro="">
      <xdr:nvCxnSpPr>
        <xdr:cNvPr id="71" name="Straight Arrow Connector 70">
          <a:extLst>
            <a:ext uri="{FF2B5EF4-FFF2-40B4-BE49-F238E27FC236}">
              <a16:creationId xmlns:a16="http://schemas.microsoft.com/office/drawing/2014/main" id="{3E47F028-2A30-46CF-B943-546F39C3CA41}"/>
            </a:ext>
          </a:extLst>
        </xdr:cNvPr>
        <xdr:cNvCxnSpPr>
          <a:stCxn id="801" idx="0"/>
        </xdr:cNvCxnSpPr>
      </xdr:nvCxnSpPr>
      <xdr:spPr>
        <a:xfrm flipH="1" flipV="1">
          <a:off x="15927917" y="9874250"/>
          <a:ext cx="517064" cy="149779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407818</xdr:colOff>
      <xdr:row>48</xdr:row>
      <xdr:rowOff>160113</xdr:rowOff>
    </xdr:from>
    <xdr:to>
      <xdr:col>22</xdr:col>
      <xdr:colOff>340179</xdr:colOff>
      <xdr:row>53</xdr:row>
      <xdr:rowOff>9208</xdr:rowOff>
    </xdr:to>
    <xdr:cxnSp macro="">
      <xdr:nvCxnSpPr>
        <xdr:cNvPr id="75" name="Straight Arrow Connector 74">
          <a:extLst>
            <a:ext uri="{FF2B5EF4-FFF2-40B4-BE49-F238E27FC236}">
              <a16:creationId xmlns:a16="http://schemas.microsoft.com/office/drawing/2014/main" id="{5F985EE3-E979-4672-8A79-BAF8A82DA014}"/>
            </a:ext>
          </a:extLst>
        </xdr:cNvPr>
        <xdr:cNvCxnSpPr>
          <a:stCxn id="6" idx="0"/>
        </xdr:cNvCxnSpPr>
      </xdr:nvCxnSpPr>
      <xdr:spPr>
        <a:xfrm flipV="1">
          <a:off x="11337756" y="10363769"/>
          <a:ext cx="2361236" cy="74206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407818</xdr:colOff>
      <xdr:row>49</xdr:row>
      <xdr:rowOff>105684</xdr:rowOff>
    </xdr:from>
    <xdr:to>
      <xdr:col>20</xdr:col>
      <xdr:colOff>435428</xdr:colOff>
      <xdr:row>53</xdr:row>
      <xdr:rowOff>9208</xdr:rowOff>
    </xdr:to>
    <xdr:cxnSp macro="">
      <xdr:nvCxnSpPr>
        <xdr:cNvPr id="78" name="Straight Arrow Connector 77">
          <a:extLst>
            <a:ext uri="{FF2B5EF4-FFF2-40B4-BE49-F238E27FC236}">
              <a16:creationId xmlns:a16="http://schemas.microsoft.com/office/drawing/2014/main" id="{0AA123F9-2C84-44EF-9FD9-3CB83CBD2C5F}"/>
            </a:ext>
          </a:extLst>
        </xdr:cNvPr>
        <xdr:cNvCxnSpPr>
          <a:stCxn id="6" idx="0"/>
        </xdr:cNvCxnSpPr>
      </xdr:nvCxnSpPr>
      <xdr:spPr>
        <a:xfrm flipV="1">
          <a:off x="11337756" y="10487934"/>
          <a:ext cx="1242047" cy="61789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40217</xdr:colOff>
      <xdr:row>110</xdr:row>
      <xdr:rowOff>178858</xdr:rowOff>
    </xdr:from>
    <xdr:to>
      <xdr:col>11</xdr:col>
      <xdr:colOff>168275</xdr:colOff>
      <xdr:row>117</xdr:row>
      <xdr:rowOff>38100</xdr:rowOff>
    </xdr:to>
    <xdr:cxnSp macro="">
      <xdr:nvCxnSpPr>
        <xdr:cNvPr id="81" name="Straight Arrow Connector 88">
          <a:extLst>
            <a:ext uri="{FF2B5EF4-FFF2-40B4-BE49-F238E27FC236}">
              <a16:creationId xmlns:a16="http://schemas.microsoft.com/office/drawing/2014/main" id="{311D39B3-3E54-45C1-BF6E-247178DDE866}"/>
            </a:ext>
          </a:extLst>
        </xdr:cNvPr>
        <xdr:cNvCxnSpPr/>
      </xdr:nvCxnSpPr>
      <xdr:spPr>
        <a:xfrm flipH="1" flipV="1">
          <a:off x="4307417" y="21752983"/>
          <a:ext cx="2566458" cy="114511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0.xml><?xml version="1.0" encoding="utf-8"?>
<xdr:wsDr xmlns:xdr="http://schemas.openxmlformats.org/drawingml/2006/spreadsheetDrawing" xmlns:a="http://schemas.openxmlformats.org/drawingml/2006/main">
  <xdr:twoCellAnchor>
    <xdr:from>
      <xdr:col>18</xdr:col>
      <xdr:colOff>904008</xdr:colOff>
      <xdr:row>24</xdr:row>
      <xdr:rowOff>165652</xdr:rowOff>
    </xdr:from>
    <xdr:to>
      <xdr:col>19</xdr:col>
      <xdr:colOff>496956</xdr:colOff>
      <xdr:row>25</xdr:row>
      <xdr:rowOff>122267</xdr:rowOff>
    </xdr:to>
    <xdr:cxnSp macro="">
      <xdr:nvCxnSpPr>
        <xdr:cNvPr id="33" name="Straight Arrow Connector 5">
          <a:extLst>
            <a:ext uri="{FF2B5EF4-FFF2-40B4-BE49-F238E27FC236}">
              <a16:creationId xmlns:a16="http://schemas.microsoft.com/office/drawing/2014/main" id="{632410FF-CAAE-4F70-BA22-58ECDF80BDC7}"/>
            </a:ext>
          </a:extLst>
        </xdr:cNvPr>
        <xdr:cNvCxnSpPr/>
      </xdr:nvCxnSpPr>
      <xdr:spPr>
        <a:xfrm flipH="1">
          <a:off x="19029117" y="5742609"/>
          <a:ext cx="1056209" cy="13607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229822</xdr:colOff>
      <xdr:row>24</xdr:row>
      <xdr:rowOff>143597</xdr:rowOff>
    </xdr:from>
    <xdr:to>
      <xdr:col>21</xdr:col>
      <xdr:colOff>769868</xdr:colOff>
      <xdr:row>26</xdr:row>
      <xdr:rowOff>0</xdr:rowOff>
    </xdr:to>
    <xdr:cxnSp macro="">
      <xdr:nvCxnSpPr>
        <xdr:cNvPr id="7" name="Straight Arrow Connector 5">
          <a:extLst>
            <a:ext uri="{FF2B5EF4-FFF2-40B4-BE49-F238E27FC236}">
              <a16:creationId xmlns:a16="http://schemas.microsoft.com/office/drawing/2014/main" id="{99029EF1-DF15-431E-96F1-616BCB3B5E17}"/>
            </a:ext>
          </a:extLst>
        </xdr:cNvPr>
        <xdr:cNvCxnSpPr>
          <a:cxnSpLocks/>
          <a:stCxn id="5" idx="2"/>
        </xdr:cNvCxnSpPr>
      </xdr:nvCxnSpPr>
      <xdr:spPr>
        <a:xfrm>
          <a:off x="21281452" y="6024249"/>
          <a:ext cx="1672003" cy="21531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21356</xdr:colOff>
      <xdr:row>17</xdr:row>
      <xdr:rowOff>112586</xdr:rowOff>
    </xdr:from>
    <xdr:to>
      <xdr:col>21</xdr:col>
      <xdr:colOff>1369943</xdr:colOff>
      <xdr:row>20</xdr:row>
      <xdr:rowOff>76773</xdr:rowOff>
    </xdr:to>
    <xdr:sp macro="" textlink="">
      <xdr:nvSpPr>
        <xdr:cNvPr id="28" name="TextBox 10">
          <a:extLst>
            <a:ext uri="{FF2B5EF4-FFF2-40B4-BE49-F238E27FC236}">
              <a16:creationId xmlns:a16="http://schemas.microsoft.com/office/drawing/2014/main" id="{8E3319DE-C717-42B7-B071-32C0F867921F}"/>
            </a:ext>
          </a:extLst>
        </xdr:cNvPr>
        <xdr:cNvSpPr txBox="1"/>
      </xdr:nvSpPr>
      <xdr:spPr>
        <a:xfrm>
          <a:off x="19609726" y="4433347"/>
          <a:ext cx="3943804" cy="5025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13804</xdr:colOff>
      <xdr:row>19</xdr:row>
      <xdr:rowOff>4951</xdr:rowOff>
    </xdr:from>
    <xdr:to>
      <xdr:col>19</xdr:col>
      <xdr:colOff>21356</xdr:colOff>
      <xdr:row>19</xdr:row>
      <xdr:rowOff>110434</xdr:rowOff>
    </xdr:to>
    <xdr:cxnSp macro="">
      <xdr:nvCxnSpPr>
        <xdr:cNvPr id="11" name="Straight Arrow Connector 5">
          <a:extLst>
            <a:ext uri="{FF2B5EF4-FFF2-40B4-BE49-F238E27FC236}">
              <a16:creationId xmlns:a16="http://schemas.microsoft.com/office/drawing/2014/main" id="{2B998ACC-02A5-4053-BAA9-A8D72D492ADB}"/>
            </a:ext>
          </a:extLst>
        </xdr:cNvPr>
        <xdr:cNvCxnSpPr>
          <a:stCxn id="28" idx="1"/>
        </xdr:cNvCxnSpPr>
      </xdr:nvCxnSpPr>
      <xdr:spPr>
        <a:xfrm flipH="1">
          <a:off x="18138913" y="4795060"/>
          <a:ext cx="1470813" cy="1054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1090543</xdr:colOff>
      <xdr:row>21</xdr:row>
      <xdr:rowOff>41413</xdr:rowOff>
    </xdr:from>
    <xdr:to>
      <xdr:col>21</xdr:col>
      <xdr:colOff>1160489</xdr:colOff>
      <xdr:row>24</xdr:row>
      <xdr:rowOff>140422</xdr:rowOff>
    </xdr:to>
    <xdr:sp macro="" textlink="">
      <xdr:nvSpPr>
        <xdr:cNvPr id="5" name="TextBox 27">
          <a:extLst>
            <a:ext uri="{FF2B5EF4-FFF2-40B4-BE49-F238E27FC236}">
              <a16:creationId xmlns:a16="http://schemas.microsoft.com/office/drawing/2014/main" id="{35D66E7D-95B5-4057-A22F-57258889AE2A}"/>
            </a:ext>
          </a:extLst>
        </xdr:cNvPr>
        <xdr:cNvSpPr txBox="1"/>
      </xdr:nvSpPr>
      <xdr:spPr>
        <a:xfrm>
          <a:off x="19215652" y="5383696"/>
          <a:ext cx="4128424"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7" name="TextBox 17">
          <a:extLst>
            <a:ext uri="{FF2B5EF4-FFF2-40B4-BE49-F238E27FC236}">
              <a16:creationId xmlns:a16="http://schemas.microsoft.com/office/drawing/2014/main" id="{D72263BF-AC90-498C-81D6-DAFC2AB3238E}"/>
            </a:ext>
          </a:extLst>
        </xdr:cNvPr>
        <xdr:cNvSpPr txBox="1"/>
      </xdr:nvSpPr>
      <xdr:spPr>
        <a:xfrm>
          <a:off x="286871" y="1075765"/>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676275</xdr:colOff>
      <xdr:row>20</xdr:row>
      <xdr:rowOff>0</xdr:rowOff>
    </xdr:from>
    <xdr:to>
      <xdr:col>16</xdr:col>
      <xdr:colOff>2651</xdr:colOff>
      <xdr:row>23</xdr:row>
      <xdr:rowOff>125700</xdr:rowOff>
    </xdr:to>
    <xdr:cxnSp macro="">
      <xdr:nvCxnSpPr>
        <xdr:cNvPr id="2" name="Straight Arrow Connector 5">
          <a:extLst>
            <a:ext uri="{FF2B5EF4-FFF2-40B4-BE49-F238E27FC236}">
              <a16:creationId xmlns:a16="http://schemas.microsoft.com/office/drawing/2014/main" id="{14AF2CA3-8FE2-4E74-9790-2F3AA1DC50C3}"/>
            </a:ext>
          </a:extLst>
        </xdr:cNvPr>
        <xdr:cNvCxnSpPr/>
      </xdr:nvCxnSpPr>
      <xdr:spPr>
        <a:xfrm flipH="1" flipV="1">
          <a:off x="16913225" y="4962525"/>
          <a:ext cx="1186926" cy="6654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xdr:row>
      <xdr:rowOff>152400</xdr:rowOff>
    </xdr:from>
    <xdr:to>
      <xdr:col>14</xdr:col>
      <xdr:colOff>121064</xdr:colOff>
      <xdr:row>19</xdr:row>
      <xdr:rowOff>30784</xdr:rowOff>
    </xdr:to>
    <xdr:cxnSp macro="">
      <xdr:nvCxnSpPr>
        <xdr:cNvPr id="3" name="Straight Arrow Connector 2">
          <a:extLst>
            <a:ext uri="{FF2B5EF4-FFF2-40B4-BE49-F238E27FC236}">
              <a16:creationId xmlns:a16="http://schemas.microsoft.com/office/drawing/2014/main" id="{2DDA082A-1638-4901-84D4-F5E12D599883}"/>
            </a:ext>
          </a:extLst>
        </xdr:cNvPr>
        <xdr:cNvCxnSpPr/>
      </xdr:nvCxnSpPr>
      <xdr:spPr>
        <a:xfrm>
          <a:off x="16240125" y="2762250"/>
          <a:ext cx="124239" cy="204690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19</xdr:row>
      <xdr:rowOff>86001</xdr:rowOff>
    </xdr:from>
    <xdr:to>
      <xdr:col>14</xdr:col>
      <xdr:colOff>152400</xdr:colOff>
      <xdr:row>19</xdr:row>
      <xdr:rowOff>86001</xdr:rowOff>
    </xdr:to>
    <xdr:cxnSp macro="">
      <xdr:nvCxnSpPr>
        <xdr:cNvPr id="8" name="Straight Arrow Connector 3">
          <a:extLst>
            <a:ext uri="{FF2B5EF4-FFF2-40B4-BE49-F238E27FC236}">
              <a16:creationId xmlns:a16="http://schemas.microsoft.com/office/drawing/2014/main" id="{340BBBA6-226A-42D8-BF81-C27CD25FD23E}"/>
            </a:ext>
          </a:extLst>
        </xdr:cNvPr>
        <xdr:cNvCxnSpPr/>
      </xdr:nvCxnSpPr>
      <xdr:spPr>
        <a:xfrm>
          <a:off x="16240125" y="4864376"/>
          <a:ext cx="15240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303774</xdr:colOff>
      <xdr:row>23</xdr:row>
      <xdr:rowOff>133153</xdr:rowOff>
    </xdr:from>
    <xdr:to>
      <xdr:col>16</xdr:col>
      <xdr:colOff>914401</xdr:colOff>
      <xdr:row>27</xdr:row>
      <xdr:rowOff>55426</xdr:rowOff>
    </xdr:to>
    <xdr:sp macro="" textlink="">
      <xdr:nvSpPr>
        <xdr:cNvPr id="12" name="TextBox 9">
          <a:extLst>
            <a:ext uri="{FF2B5EF4-FFF2-40B4-BE49-F238E27FC236}">
              <a16:creationId xmlns:a16="http://schemas.microsoft.com/office/drawing/2014/main" id="{2BAB1DF8-F5B3-4D5C-8912-1CCABB8D387A}"/>
            </a:ext>
          </a:extLst>
        </xdr:cNvPr>
        <xdr:cNvSpPr txBox="1"/>
      </xdr:nvSpPr>
      <xdr:spPr>
        <a:xfrm>
          <a:off x="16543899" y="5638603"/>
          <a:ext cx="2468002" cy="6461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473075</xdr:colOff>
      <xdr:row>2</xdr:row>
      <xdr:rowOff>171450</xdr:rowOff>
    </xdr:from>
    <xdr:to>
      <xdr:col>16</xdr:col>
      <xdr:colOff>483934</xdr:colOff>
      <xdr:row>4</xdr:row>
      <xdr:rowOff>323850</xdr:rowOff>
    </xdr:to>
    <xdr:cxnSp macro="">
      <xdr:nvCxnSpPr>
        <xdr:cNvPr id="13" name="Straight Arrow Connector 12">
          <a:extLst>
            <a:ext uri="{FF2B5EF4-FFF2-40B4-BE49-F238E27FC236}">
              <a16:creationId xmlns:a16="http://schemas.microsoft.com/office/drawing/2014/main" id="{0C7F56E4-5BA5-42EA-A807-A83A596CB53B}"/>
            </a:ext>
          </a:extLst>
        </xdr:cNvPr>
        <xdr:cNvCxnSpPr>
          <a:cxnSpLocks/>
        </xdr:cNvCxnSpPr>
      </xdr:nvCxnSpPr>
      <xdr:spPr>
        <a:xfrm>
          <a:off x="17751425" y="82867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523875</xdr:colOff>
      <xdr:row>1</xdr:row>
      <xdr:rowOff>57150</xdr:rowOff>
    </xdr:from>
    <xdr:to>
      <xdr:col>14</xdr:col>
      <xdr:colOff>552450</xdr:colOff>
      <xdr:row>4</xdr:row>
      <xdr:rowOff>504825</xdr:rowOff>
    </xdr:to>
    <xdr:cxnSp macro="">
      <xdr:nvCxnSpPr>
        <xdr:cNvPr id="14" name="Straight Arrow Connector 20">
          <a:extLst>
            <a:ext uri="{FF2B5EF4-FFF2-40B4-BE49-F238E27FC236}">
              <a16:creationId xmlns:a16="http://schemas.microsoft.com/office/drawing/2014/main" id="{08CA1BE0-6300-4C90-857D-822EB425976F}"/>
            </a:ext>
          </a:extLst>
        </xdr:cNvPr>
        <xdr:cNvCxnSpPr>
          <a:cxnSpLocks/>
        </xdr:cNvCxnSpPr>
      </xdr:nvCxnSpPr>
      <xdr:spPr>
        <a:xfrm flipH="1">
          <a:off x="15760700" y="457200"/>
          <a:ext cx="1031875" cy="1092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561975</xdr:colOff>
      <xdr:row>0</xdr:row>
      <xdr:rowOff>152400</xdr:rowOff>
    </xdr:from>
    <xdr:to>
      <xdr:col>19</xdr:col>
      <xdr:colOff>596901</xdr:colOff>
      <xdr:row>2</xdr:row>
      <xdr:rowOff>162559</xdr:rowOff>
    </xdr:to>
    <xdr:sp macro="" textlink="">
      <xdr:nvSpPr>
        <xdr:cNvPr id="15" name="TextBox 8">
          <a:extLst>
            <a:ext uri="{FF2B5EF4-FFF2-40B4-BE49-F238E27FC236}">
              <a16:creationId xmlns:a16="http://schemas.microsoft.com/office/drawing/2014/main" id="{76840E8D-E8B9-4062-A279-509D41DF35BD}"/>
            </a:ext>
          </a:extLst>
        </xdr:cNvPr>
        <xdr:cNvSpPr txBox="1"/>
      </xdr:nvSpPr>
      <xdr:spPr>
        <a:xfrm>
          <a:off x="16802100" y="152400"/>
          <a:ext cx="5883276" cy="6673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14</xdr:col>
      <xdr:colOff>676275</xdr:colOff>
      <xdr:row>20</xdr:row>
      <xdr:rowOff>0</xdr:rowOff>
    </xdr:from>
    <xdr:to>
      <xdr:col>16</xdr:col>
      <xdr:colOff>2651</xdr:colOff>
      <xdr:row>23</xdr:row>
      <xdr:rowOff>125700</xdr:rowOff>
    </xdr:to>
    <xdr:cxnSp macro="">
      <xdr:nvCxnSpPr>
        <xdr:cNvPr id="29" name="Straight Arrow Connector 5">
          <a:extLst>
            <a:ext uri="{FF2B5EF4-FFF2-40B4-BE49-F238E27FC236}">
              <a16:creationId xmlns:a16="http://schemas.microsoft.com/office/drawing/2014/main" id="{DCB165BB-67B9-49F4-8173-B6D03B6F644B}"/>
            </a:ext>
          </a:extLst>
        </xdr:cNvPr>
        <xdr:cNvCxnSpPr/>
      </xdr:nvCxnSpPr>
      <xdr:spPr>
        <a:xfrm flipH="1" flipV="1">
          <a:off x="16916400" y="4962525"/>
          <a:ext cx="1183751" cy="6686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xdr:row>
      <xdr:rowOff>152400</xdr:rowOff>
    </xdr:from>
    <xdr:to>
      <xdr:col>14</xdr:col>
      <xdr:colOff>121064</xdr:colOff>
      <xdr:row>19</xdr:row>
      <xdr:rowOff>30784</xdr:rowOff>
    </xdr:to>
    <xdr:cxnSp macro="">
      <xdr:nvCxnSpPr>
        <xdr:cNvPr id="27" name="Straight Arrow Connector 2">
          <a:extLst>
            <a:ext uri="{FF2B5EF4-FFF2-40B4-BE49-F238E27FC236}">
              <a16:creationId xmlns:a16="http://schemas.microsoft.com/office/drawing/2014/main" id="{F31C1B31-2E07-4CC6-ABF7-9434DF0CA604}"/>
            </a:ext>
          </a:extLst>
        </xdr:cNvPr>
        <xdr:cNvCxnSpPr/>
      </xdr:nvCxnSpPr>
      <xdr:spPr>
        <a:xfrm>
          <a:off x="16240125" y="2762250"/>
          <a:ext cx="121064" cy="2050084"/>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19</xdr:row>
      <xdr:rowOff>86001</xdr:rowOff>
    </xdr:from>
    <xdr:to>
      <xdr:col>14</xdr:col>
      <xdr:colOff>152400</xdr:colOff>
      <xdr:row>19</xdr:row>
      <xdr:rowOff>86001</xdr:rowOff>
    </xdr:to>
    <xdr:cxnSp macro="">
      <xdr:nvCxnSpPr>
        <xdr:cNvPr id="14" name="Straight Arrow Connector 3">
          <a:extLst>
            <a:ext uri="{FF2B5EF4-FFF2-40B4-BE49-F238E27FC236}">
              <a16:creationId xmlns:a16="http://schemas.microsoft.com/office/drawing/2014/main" id="{8C16B1FA-F753-4E73-954B-B7CB7DCCDE82}"/>
            </a:ext>
          </a:extLst>
        </xdr:cNvPr>
        <xdr:cNvCxnSpPr/>
      </xdr:nvCxnSpPr>
      <xdr:spPr>
        <a:xfrm>
          <a:off x="16240125" y="4867551"/>
          <a:ext cx="15240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959226</xdr:colOff>
      <xdr:row>24</xdr:row>
      <xdr:rowOff>136050</xdr:rowOff>
    </xdr:from>
    <xdr:to>
      <xdr:col>19</xdr:col>
      <xdr:colOff>472503</xdr:colOff>
      <xdr:row>25</xdr:row>
      <xdr:rowOff>174309</xdr:rowOff>
    </xdr:to>
    <xdr:cxnSp macro="">
      <xdr:nvCxnSpPr>
        <xdr:cNvPr id="25" name="Straight Arrow Connector 5">
          <a:extLst>
            <a:ext uri="{FF2B5EF4-FFF2-40B4-BE49-F238E27FC236}">
              <a16:creationId xmlns:a16="http://schemas.microsoft.com/office/drawing/2014/main" id="{AFA4FE81-0FFD-43AA-AC54-42114CB9B7BB}"/>
            </a:ext>
          </a:extLst>
        </xdr:cNvPr>
        <xdr:cNvCxnSpPr/>
      </xdr:nvCxnSpPr>
      <xdr:spPr>
        <a:xfrm flipH="1">
          <a:off x="18891074" y="5713007"/>
          <a:ext cx="976538" cy="21771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240451</xdr:colOff>
      <xdr:row>24</xdr:row>
      <xdr:rowOff>126617</xdr:rowOff>
    </xdr:from>
    <xdr:to>
      <xdr:col>21</xdr:col>
      <xdr:colOff>466173</xdr:colOff>
      <xdr:row>25</xdr:row>
      <xdr:rowOff>121064</xdr:rowOff>
    </xdr:to>
    <xdr:cxnSp macro="">
      <xdr:nvCxnSpPr>
        <xdr:cNvPr id="9" name="Straight Arrow Connector 5">
          <a:extLst>
            <a:ext uri="{FF2B5EF4-FFF2-40B4-BE49-F238E27FC236}">
              <a16:creationId xmlns:a16="http://schemas.microsoft.com/office/drawing/2014/main" id="{609782C4-7697-4FAC-B5A5-F1FDA84EA48E}"/>
            </a:ext>
          </a:extLst>
        </xdr:cNvPr>
        <xdr:cNvCxnSpPr>
          <a:cxnSpLocks/>
          <a:stCxn id="5" idx="2"/>
        </xdr:cNvCxnSpPr>
      </xdr:nvCxnSpPr>
      <xdr:spPr>
        <a:xfrm>
          <a:off x="21098821" y="6090095"/>
          <a:ext cx="1357678" cy="17390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303774</xdr:colOff>
      <xdr:row>23</xdr:row>
      <xdr:rowOff>133153</xdr:rowOff>
    </xdr:from>
    <xdr:to>
      <xdr:col>16</xdr:col>
      <xdr:colOff>914401</xdr:colOff>
      <xdr:row>27</xdr:row>
      <xdr:rowOff>55426</xdr:rowOff>
    </xdr:to>
    <xdr:sp macro="" textlink="">
      <xdr:nvSpPr>
        <xdr:cNvPr id="26" name="TextBox 9">
          <a:extLst>
            <a:ext uri="{FF2B5EF4-FFF2-40B4-BE49-F238E27FC236}">
              <a16:creationId xmlns:a16="http://schemas.microsoft.com/office/drawing/2014/main" id="{93C006A5-76B0-44E1-AFDB-E91ACCFF7881}"/>
            </a:ext>
          </a:extLst>
        </xdr:cNvPr>
        <xdr:cNvSpPr txBox="1"/>
      </xdr:nvSpPr>
      <xdr:spPr>
        <a:xfrm>
          <a:off x="16543899" y="5638603"/>
          <a:ext cx="2468002" cy="6461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18</xdr:col>
      <xdr:colOff>459919</xdr:colOff>
      <xdr:row>17</xdr:row>
      <xdr:rowOff>112585</xdr:rowOff>
    </xdr:from>
    <xdr:to>
      <xdr:col>21</xdr:col>
      <xdr:colOff>354770</xdr:colOff>
      <xdr:row>20</xdr:row>
      <xdr:rowOff>76772</xdr:rowOff>
    </xdr:to>
    <xdr:sp macro="" textlink="">
      <xdr:nvSpPr>
        <xdr:cNvPr id="22" name="TextBox 10">
          <a:extLst>
            <a:ext uri="{FF2B5EF4-FFF2-40B4-BE49-F238E27FC236}">
              <a16:creationId xmlns:a16="http://schemas.microsoft.com/office/drawing/2014/main" id="{E3696431-E8C7-4616-B7F9-64584AD84BA8}"/>
            </a:ext>
          </a:extLst>
        </xdr:cNvPr>
        <xdr:cNvSpPr txBox="1"/>
      </xdr:nvSpPr>
      <xdr:spPr>
        <a:xfrm>
          <a:off x="18391767" y="4433346"/>
          <a:ext cx="3953329" cy="5025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27609</xdr:colOff>
      <xdr:row>19</xdr:row>
      <xdr:rowOff>4950</xdr:rowOff>
    </xdr:from>
    <xdr:to>
      <xdr:col>18</xdr:col>
      <xdr:colOff>459919</xdr:colOff>
      <xdr:row>19</xdr:row>
      <xdr:rowOff>69022</xdr:rowOff>
    </xdr:to>
    <xdr:cxnSp macro="">
      <xdr:nvCxnSpPr>
        <xdr:cNvPr id="8" name="Straight Arrow Connector 5">
          <a:extLst>
            <a:ext uri="{FF2B5EF4-FFF2-40B4-BE49-F238E27FC236}">
              <a16:creationId xmlns:a16="http://schemas.microsoft.com/office/drawing/2014/main" id="{FC2CC573-FA54-4FEC-A4E2-44B0742F2BBB}"/>
            </a:ext>
          </a:extLst>
        </xdr:cNvPr>
        <xdr:cNvCxnSpPr>
          <a:stCxn id="22" idx="1"/>
        </xdr:cNvCxnSpPr>
      </xdr:nvCxnSpPr>
      <xdr:spPr>
        <a:xfrm flipH="1">
          <a:off x="17959457" y="4684624"/>
          <a:ext cx="432310" cy="6407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1104348</xdr:colOff>
      <xdr:row>21</xdr:row>
      <xdr:rowOff>27608</xdr:rowOff>
    </xdr:from>
    <xdr:to>
      <xdr:col>21</xdr:col>
      <xdr:colOff>1174294</xdr:colOff>
      <xdr:row>24</xdr:row>
      <xdr:rowOff>123442</xdr:rowOff>
    </xdr:to>
    <xdr:sp macro="" textlink="">
      <xdr:nvSpPr>
        <xdr:cNvPr id="5" name="TextBox 27">
          <a:extLst>
            <a:ext uri="{FF2B5EF4-FFF2-40B4-BE49-F238E27FC236}">
              <a16:creationId xmlns:a16="http://schemas.microsoft.com/office/drawing/2014/main" id="{9A04959F-062B-4318-947D-0468E1D4E367}"/>
            </a:ext>
          </a:extLst>
        </xdr:cNvPr>
        <xdr:cNvSpPr txBox="1"/>
      </xdr:nvSpPr>
      <xdr:spPr>
        <a:xfrm>
          <a:off x="19036196" y="5452717"/>
          <a:ext cx="4128424" cy="6342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57B5C8B7-5A7A-4269-8B9D-BDE02F2FFFD2}"/>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16</xdr:col>
      <xdr:colOff>463550</xdr:colOff>
      <xdr:row>2</xdr:row>
      <xdr:rowOff>152400</xdr:rowOff>
    </xdr:from>
    <xdr:to>
      <xdr:col>16</xdr:col>
      <xdr:colOff>474409</xdr:colOff>
      <xdr:row>4</xdr:row>
      <xdr:rowOff>304800</xdr:rowOff>
    </xdr:to>
    <xdr:cxnSp macro="">
      <xdr:nvCxnSpPr>
        <xdr:cNvPr id="10" name="Straight Arrow Connector 9">
          <a:extLst>
            <a:ext uri="{FF2B5EF4-FFF2-40B4-BE49-F238E27FC236}">
              <a16:creationId xmlns:a16="http://schemas.microsoft.com/office/drawing/2014/main" id="{494C107F-3B5B-420E-94E6-713246BFD222}"/>
            </a:ext>
          </a:extLst>
        </xdr:cNvPr>
        <xdr:cNvCxnSpPr>
          <a:cxnSpLocks/>
        </xdr:cNvCxnSpPr>
      </xdr:nvCxnSpPr>
      <xdr:spPr>
        <a:xfrm>
          <a:off x="17741900" y="80962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552450</xdr:colOff>
      <xdr:row>0</xdr:row>
      <xdr:rowOff>152400</xdr:rowOff>
    </xdr:from>
    <xdr:to>
      <xdr:col>19</xdr:col>
      <xdr:colOff>590551</xdr:colOff>
      <xdr:row>2</xdr:row>
      <xdr:rowOff>162559</xdr:rowOff>
    </xdr:to>
    <xdr:sp macro="" textlink="">
      <xdr:nvSpPr>
        <xdr:cNvPr id="11" name="TextBox 8">
          <a:extLst>
            <a:ext uri="{FF2B5EF4-FFF2-40B4-BE49-F238E27FC236}">
              <a16:creationId xmlns:a16="http://schemas.microsoft.com/office/drawing/2014/main" id="{5944C107-0329-4439-BF0B-665611CE972D}"/>
            </a:ext>
          </a:extLst>
        </xdr:cNvPr>
        <xdr:cNvSpPr txBox="1"/>
      </xdr:nvSpPr>
      <xdr:spPr>
        <a:xfrm>
          <a:off x="16792575" y="152400"/>
          <a:ext cx="5886451" cy="6673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twoCellAnchor>
    <xdr:from>
      <xdr:col>13</xdr:col>
      <xdr:colOff>523875</xdr:colOff>
      <xdr:row>1</xdr:row>
      <xdr:rowOff>57150</xdr:rowOff>
    </xdr:from>
    <xdr:to>
      <xdr:col>14</xdr:col>
      <xdr:colOff>552450</xdr:colOff>
      <xdr:row>4</xdr:row>
      <xdr:rowOff>504825</xdr:rowOff>
    </xdr:to>
    <xdr:cxnSp macro="">
      <xdr:nvCxnSpPr>
        <xdr:cNvPr id="12" name="Straight Arrow Connector 20">
          <a:extLst>
            <a:ext uri="{FF2B5EF4-FFF2-40B4-BE49-F238E27FC236}">
              <a16:creationId xmlns:a16="http://schemas.microsoft.com/office/drawing/2014/main" id="{4B6B2EB8-E2A9-4563-8F33-AD3BA83E3EDD}"/>
            </a:ext>
          </a:extLst>
        </xdr:cNvPr>
        <xdr:cNvCxnSpPr>
          <a:cxnSpLocks/>
        </xdr:cNvCxnSpPr>
      </xdr:nvCxnSpPr>
      <xdr:spPr>
        <a:xfrm flipH="1">
          <a:off x="15763875" y="457200"/>
          <a:ext cx="1028700" cy="10953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2.xml><?xml version="1.0" encoding="utf-8"?>
<xdr:wsDr xmlns:xdr="http://schemas.openxmlformats.org/drawingml/2006/spreadsheetDrawing" xmlns:a="http://schemas.openxmlformats.org/drawingml/2006/main">
  <xdr:twoCellAnchor>
    <xdr:from>
      <xdr:col>18</xdr:col>
      <xdr:colOff>895186</xdr:colOff>
      <xdr:row>24</xdr:row>
      <xdr:rowOff>109146</xdr:rowOff>
    </xdr:from>
    <xdr:to>
      <xdr:col>19</xdr:col>
      <xdr:colOff>414111</xdr:colOff>
      <xdr:row>25</xdr:row>
      <xdr:rowOff>136072</xdr:rowOff>
    </xdr:to>
    <xdr:cxnSp macro="">
      <xdr:nvCxnSpPr>
        <xdr:cNvPr id="28" name="Straight Arrow Connector 5">
          <a:extLst>
            <a:ext uri="{FF2B5EF4-FFF2-40B4-BE49-F238E27FC236}">
              <a16:creationId xmlns:a16="http://schemas.microsoft.com/office/drawing/2014/main" id="{09220E2D-C487-4C39-B071-5D04488D7DE5}"/>
            </a:ext>
          </a:extLst>
        </xdr:cNvPr>
        <xdr:cNvCxnSpPr/>
      </xdr:nvCxnSpPr>
      <xdr:spPr>
        <a:xfrm flipH="1">
          <a:off x="18949391" y="5809714"/>
          <a:ext cx="976538" cy="21454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175231</xdr:colOff>
      <xdr:row>24</xdr:row>
      <xdr:rowOff>85794</xdr:rowOff>
    </xdr:from>
    <xdr:to>
      <xdr:col>21</xdr:col>
      <xdr:colOff>545235</xdr:colOff>
      <xdr:row>25</xdr:row>
      <xdr:rowOff>141143</xdr:rowOff>
    </xdr:to>
    <xdr:cxnSp macro="">
      <xdr:nvCxnSpPr>
        <xdr:cNvPr id="7" name="Straight Arrow Connector 5">
          <a:extLst>
            <a:ext uri="{FF2B5EF4-FFF2-40B4-BE49-F238E27FC236}">
              <a16:creationId xmlns:a16="http://schemas.microsoft.com/office/drawing/2014/main" id="{E19AD6BA-F9FE-41D1-8401-D2A38F97446F}"/>
            </a:ext>
          </a:extLst>
        </xdr:cNvPr>
        <xdr:cNvCxnSpPr>
          <a:cxnSpLocks/>
          <a:stCxn id="4" idx="2"/>
        </xdr:cNvCxnSpPr>
      </xdr:nvCxnSpPr>
      <xdr:spPr>
        <a:xfrm>
          <a:off x="21390004" y="6176021"/>
          <a:ext cx="1510117" cy="24296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468000</xdr:colOff>
      <xdr:row>17</xdr:row>
      <xdr:rowOff>123291</xdr:rowOff>
    </xdr:from>
    <xdr:to>
      <xdr:col>21</xdr:col>
      <xdr:colOff>372339</xdr:colOff>
      <xdr:row>20</xdr:row>
      <xdr:rowOff>50306</xdr:rowOff>
    </xdr:to>
    <xdr:sp macro="" textlink="">
      <xdr:nvSpPr>
        <xdr:cNvPr id="25" name="TextBox 10">
          <a:extLst>
            <a:ext uri="{FF2B5EF4-FFF2-40B4-BE49-F238E27FC236}">
              <a16:creationId xmlns:a16="http://schemas.microsoft.com/office/drawing/2014/main" id="{F1E67844-AA88-40D2-B6D2-8B427549E073}"/>
            </a:ext>
          </a:extLst>
        </xdr:cNvPr>
        <xdr:cNvSpPr txBox="1"/>
      </xdr:nvSpPr>
      <xdr:spPr>
        <a:xfrm>
          <a:off x="18522205" y="4510564"/>
          <a:ext cx="3959679"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0</xdr:colOff>
      <xdr:row>18</xdr:row>
      <xdr:rowOff>180606</xdr:rowOff>
    </xdr:from>
    <xdr:to>
      <xdr:col>18</xdr:col>
      <xdr:colOff>464825</xdr:colOff>
      <xdr:row>19</xdr:row>
      <xdr:rowOff>101023</xdr:rowOff>
    </xdr:to>
    <xdr:cxnSp macro="">
      <xdr:nvCxnSpPr>
        <xdr:cNvPr id="17" name="Straight Arrow Connector 5">
          <a:extLst>
            <a:ext uri="{FF2B5EF4-FFF2-40B4-BE49-F238E27FC236}">
              <a16:creationId xmlns:a16="http://schemas.microsoft.com/office/drawing/2014/main" id="{94DDD407-E865-4212-9DB5-65CD8B601FA2}"/>
            </a:ext>
          </a:extLst>
        </xdr:cNvPr>
        <xdr:cNvCxnSpPr>
          <a:stCxn id="25" idx="1"/>
        </xdr:cNvCxnSpPr>
      </xdr:nvCxnSpPr>
      <xdr:spPr>
        <a:xfrm flipH="1">
          <a:off x="18299545" y="4755492"/>
          <a:ext cx="464825" cy="10803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1024659</xdr:colOff>
      <xdr:row>21</xdr:row>
      <xdr:rowOff>14432</xdr:rowOff>
    </xdr:from>
    <xdr:to>
      <xdr:col>21</xdr:col>
      <xdr:colOff>1104092</xdr:colOff>
      <xdr:row>24</xdr:row>
      <xdr:rowOff>82619</xdr:rowOff>
    </xdr:to>
    <xdr:sp macro="" textlink="">
      <xdr:nvSpPr>
        <xdr:cNvPr id="4" name="TextBox 27">
          <a:extLst>
            <a:ext uri="{FF2B5EF4-FFF2-40B4-BE49-F238E27FC236}">
              <a16:creationId xmlns:a16="http://schemas.microsoft.com/office/drawing/2014/main" id="{B1137DE0-86D5-46CC-AB8C-F415D9212D78}"/>
            </a:ext>
          </a:extLst>
        </xdr:cNvPr>
        <xdr:cNvSpPr txBox="1"/>
      </xdr:nvSpPr>
      <xdr:spPr>
        <a:xfrm>
          <a:off x="19324204" y="5541818"/>
          <a:ext cx="4134774" cy="6310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8" name="TextBox 17">
          <a:extLst>
            <a:ext uri="{FF2B5EF4-FFF2-40B4-BE49-F238E27FC236}">
              <a16:creationId xmlns:a16="http://schemas.microsoft.com/office/drawing/2014/main" id="{6CBDC8FC-A1E9-4BD5-83AF-BA34777A94E7}"/>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981075</xdr:colOff>
      <xdr:row>20</xdr:row>
      <xdr:rowOff>19050</xdr:rowOff>
    </xdr:from>
    <xdr:to>
      <xdr:col>15</xdr:col>
      <xdr:colOff>284616</xdr:colOff>
      <xdr:row>23</xdr:row>
      <xdr:rowOff>908</xdr:rowOff>
    </xdr:to>
    <xdr:cxnSp macro="">
      <xdr:nvCxnSpPr>
        <xdr:cNvPr id="2" name="Straight Arrow Connector 5">
          <a:extLst>
            <a:ext uri="{FF2B5EF4-FFF2-40B4-BE49-F238E27FC236}">
              <a16:creationId xmlns:a16="http://schemas.microsoft.com/office/drawing/2014/main" id="{E798D46B-C318-4EB1-B257-BD57A6A3A857}"/>
            </a:ext>
          </a:extLst>
        </xdr:cNvPr>
        <xdr:cNvCxnSpPr>
          <a:stCxn id="13" idx="0"/>
        </xdr:cNvCxnSpPr>
      </xdr:nvCxnSpPr>
      <xdr:spPr>
        <a:xfrm flipH="1" flipV="1">
          <a:off x="17218025" y="4981575"/>
          <a:ext cx="735466" cy="5247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xdr:row>
      <xdr:rowOff>82550</xdr:rowOff>
    </xdr:from>
    <xdr:to>
      <xdr:col>14</xdr:col>
      <xdr:colOff>247650</xdr:colOff>
      <xdr:row>19</xdr:row>
      <xdr:rowOff>19050</xdr:rowOff>
    </xdr:to>
    <xdr:cxnSp macro="">
      <xdr:nvCxnSpPr>
        <xdr:cNvPr id="3" name="Straight Arrow Connector 2">
          <a:extLst>
            <a:ext uri="{FF2B5EF4-FFF2-40B4-BE49-F238E27FC236}">
              <a16:creationId xmlns:a16="http://schemas.microsoft.com/office/drawing/2014/main" id="{3E8617E2-F99C-427D-AEA9-879A452D00CF}"/>
            </a:ext>
          </a:extLst>
        </xdr:cNvPr>
        <xdr:cNvCxnSpPr/>
      </xdr:nvCxnSpPr>
      <xdr:spPr>
        <a:xfrm>
          <a:off x="16265525" y="2695575"/>
          <a:ext cx="222250" cy="210502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15875</xdr:colOff>
      <xdr:row>19</xdr:row>
      <xdr:rowOff>85725</xdr:rowOff>
    </xdr:from>
    <xdr:to>
      <xdr:col>14</xdr:col>
      <xdr:colOff>152400</xdr:colOff>
      <xdr:row>19</xdr:row>
      <xdr:rowOff>88155</xdr:rowOff>
    </xdr:to>
    <xdr:cxnSp macro="">
      <xdr:nvCxnSpPr>
        <xdr:cNvPr id="6" name="Straight Arrow Connector 5">
          <a:extLst>
            <a:ext uri="{FF2B5EF4-FFF2-40B4-BE49-F238E27FC236}">
              <a16:creationId xmlns:a16="http://schemas.microsoft.com/office/drawing/2014/main" id="{8AD1E813-94BC-49D4-9870-5034FBDEE981}"/>
            </a:ext>
          </a:extLst>
        </xdr:cNvPr>
        <xdr:cNvCxnSpPr/>
      </xdr:nvCxnSpPr>
      <xdr:spPr>
        <a:xfrm flipV="1">
          <a:off x="16256000" y="4864100"/>
          <a:ext cx="136525" cy="243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438150</xdr:colOff>
      <xdr:row>1</xdr:row>
      <xdr:rowOff>43182</xdr:rowOff>
    </xdr:from>
    <xdr:to>
      <xdr:col>14</xdr:col>
      <xdr:colOff>476250</xdr:colOff>
      <xdr:row>4</xdr:row>
      <xdr:rowOff>361950</xdr:rowOff>
    </xdr:to>
    <xdr:cxnSp macro="">
      <xdr:nvCxnSpPr>
        <xdr:cNvPr id="11" name="Straight Arrow Connector 20">
          <a:extLst>
            <a:ext uri="{FF2B5EF4-FFF2-40B4-BE49-F238E27FC236}">
              <a16:creationId xmlns:a16="http://schemas.microsoft.com/office/drawing/2014/main" id="{1FB5FE72-62B0-4864-9EB5-263DE93C439F}"/>
            </a:ext>
          </a:extLst>
        </xdr:cNvPr>
        <xdr:cNvCxnSpPr>
          <a:cxnSpLocks/>
        </xdr:cNvCxnSpPr>
      </xdr:nvCxnSpPr>
      <xdr:spPr>
        <a:xfrm flipH="1">
          <a:off x="15678150" y="446407"/>
          <a:ext cx="1038225" cy="96329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610506</xdr:colOff>
      <xdr:row>22</xdr:row>
      <xdr:rowOff>178708</xdr:rowOff>
    </xdr:from>
    <xdr:to>
      <xdr:col>16</xdr:col>
      <xdr:colOff>828675</xdr:colOff>
      <xdr:row>26</xdr:row>
      <xdr:rowOff>73025</xdr:rowOff>
    </xdr:to>
    <xdr:sp macro="" textlink="">
      <xdr:nvSpPr>
        <xdr:cNvPr id="13" name="TextBox 12">
          <a:extLst>
            <a:ext uri="{FF2B5EF4-FFF2-40B4-BE49-F238E27FC236}">
              <a16:creationId xmlns:a16="http://schemas.microsoft.com/office/drawing/2014/main" id="{B83EA363-F972-47AA-8408-EA1EAA525637}"/>
            </a:ext>
          </a:extLst>
        </xdr:cNvPr>
        <xdr:cNvSpPr txBox="1"/>
      </xdr:nvSpPr>
      <xdr:spPr>
        <a:xfrm>
          <a:off x="16850631" y="5506358"/>
          <a:ext cx="2205719" cy="61504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539750</xdr:colOff>
      <xdr:row>2</xdr:row>
      <xdr:rowOff>152400</xdr:rowOff>
    </xdr:from>
    <xdr:to>
      <xdr:col>16</xdr:col>
      <xdr:colOff>550609</xdr:colOff>
      <xdr:row>4</xdr:row>
      <xdr:rowOff>304800</xdr:rowOff>
    </xdr:to>
    <xdr:cxnSp macro="">
      <xdr:nvCxnSpPr>
        <xdr:cNvPr id="15" name="Straight Arrow Connector 14">
          <a:extLst>
            <a:ext uri="{FF2B5EF4-FFF2-40B4-BE49-F238E27FC236}">
              <a16:creationId xmlns:a16="http://schemas.microsoft.com/office/drawing/2014/main" id="{25A44571-08EF-4DCB-912F-01A4623D1707}"/>
            </a:ext>
          </a:extLst>
        </xdr:cNvPr>
        <xdr:cNvCxnSpPr>
          <a:cxnSpLocks/>
        </xdr:cNvCxnSpPr>
      </xdr:nvCxnSpPr>
      <xdr:spPr>
        <a:xfrm>
          <a:off x="17941925" y="80962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466725</xdr:colOff>
      <xdr:row>0</xdr:row>
      <xdr:rowOff>142875</xdr:rowOff>
    </xdr:from>
    <xdr:to>
      <xdr:col>19</xdr:col>
      <xdr:colOff>368301</xdr:colOff>
      <xdr:row>2</xdr:row>
      <xdr:rowOff>149859</xdr:rowOff>
    </xdr:to>
    <xdr:sp macro="" textlink="">
      <xdr:nvSpPr>
        <xdr:cNvPr id="19" name="TextBox 8">
          <a:extLst>
            <a:ext uri="{FF2B5EF4-FFF2-40B4-BE49-F238E27FC236}">
              <a16:creationId xmlns:a16="http://schemas.microsoft.com/office/drawing/2014/main" id="{6885D7B9-2BE3-418F-8ACA-B420E505B972}"/>
            </a:ext>
          </a:extLst>
        </xdr:cNvPr>
        <xdr:cNvSpPr txBox="1"/>
      </xdr:nvSpPr>
      <xdr:spPr>
        <a:xfrm>
          <a:off x="16706850" y="142875"/>
          <a:ext cx="5883276"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18</xdr:col>
      <xdr:colOff>1016000</xdr:colOff>
      <xdr:row>24</xdr:row>
      <xdr:rowOff>159657</xdr:rowOff>
    </xdr:from>
    <xdr:to>
      <xdr:col>19</xdr:col>
      <xdr:colOff>562502</xdr:colOff>
      <xdr:row>25</xdr:row>
      <xdr:rowOff>111125</xdr:rowOff>
    </xdr:to>
    <xdr:cxnSp macro="">
      <xdr:nvCxnSpPr>
        <xdr:cNvPr id="16" name="Straight Arrow Connector 5">
          <a:extLst>
            <a:ext uri="{FF2B5EF4-FFF2-40B4-BE49-F238E27FC236}">
              <a16:creationId xmlns:a16="http://schemas.microsoft.com/office/drawing/2014/main" id="{29F1560E-DFA8-40DB-BBD5-A2E0F0CC2A7C}"/>
            </a:ext>
          </a:extLst>
        </xdr:cNvPr>
        <xdr:cNvCxnSpPr/>
      </xdr:nvCxnSpPr>
      <xdr:spPr>
        <a:xfrm flipH="1">
          <a:off x="18224500" y="5636532"/>
          <a:ext cx="1007002" cy="126093"/>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323728</xdr:colOff>
      <xdr:row>24</xdr:row>
      <xdr:rowOff>154778</xdr:rowOff>
    </xdr:from>
    <xdr:to>
      <xdr:col>21</xdr:col>
      <xdr:colOff>791052</xdr:colOff>
      <xdr:row>25</xdr:row>
      <xdr:rowOff>161089</xdr:rowOff>
    </xdr:to>
    <xdr:cxnSp macro="">
      <xdr:nvCxnSpPr>
        <xdr:cNvPr id="6" name="Straight Arrow Connector 5">
          <a:extLst>
            <a:ext uri="{FF2B5EF4-FFF2-40B4-BE49-F238E27FC236}">
              <a16:creationId xmlns:a16="http://schemas.microsoft.com/office/drawing/2014/main" id="{BA345911-4BB4-4CB2-9673-4F64EFA24609}"/>
            </a:ext>
          </a:extLst>
        </xdr:cNvPr>
        <xdr:cNvCxnSpPr>
          <a:cxnSpLocks/>
          <a:stCxn id="4" idx="2"/>
        </xdr:cNvCxnSpPr>
      </xdr:nvCxnSpPr>
      <xdr:spPr>
        <a:xfrm>
          <a:off x="21429123" y="6032706"/>
          <a:ext cx="1595284" cy="18177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465100</xdr:colOff>
      <xdr:row>17</xdr:row>
      <xdr:rowOff>146458</xdr:rowOff>
    </xdr:from>
    <xdr:to>
      <xdr:col>21</xdr:col>
      <xdr:colOff>386012</xdr:colOff>
      <xdr:row>20</xdr:row>
      <xdr:rowOff>116282</xdr:rowOff>
    </xdr:to>
    <xdr:sp macro="" textlink="">
      <xdr:nvSpPr>
        <xdr:cNvPr id="11" name="TextBox 10">
          <a:extLst>
            <a:ext uri="{FF2B5EF4-FFF2-40B4-BE49-F238E27FC236}">
              <a16:creationId xmlns:a16="http://schemas.microsoft.com/office/drawing/2014/main" id="{56654CE2-2892-4240-8EBC-83939A493F60}"/>
            </a:ext>
          </a:extLst>
        </xdr:cNvPr>
        <xdr:cNvSpPr txBox="1"/>
      </xdr:nvSpPr>
      <xdr:spPr>
        <a:xfrm>
          <a:off x="17647699" y="4395109"/>
          <a:ext cx="3956504" cy="49620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11983</xdr:colOff>
      <xdr:row>19</xdr:row>
      <xdr:rowOff>43640</xdr:rowOff>
    </xdr:from>
    <xdr:to>
      <xdr:col>18</xdr:col>
      <xdr:colOff>461925</xdr:colOff>
      <xdr:row>19</xdr:row>
      <xdr:rowOff>122106</xdr:rowOff>
    </xdr:to>
    <xdr:cxnSp macro="">
      <xdr:nvCxnSpPr>
        <xdr:cNvPr id="15" name="Straight Arrow Connector 5">
          <a:extLst>
            <a:ext uri="{FF2B5EF4-FFF2-40B4-BE49-F238E27FC236}">
              <a16:creationId xmlns:a16="http://schemas.microsoft.com/office/drawing/2014/main" id="{D2BCAF05-30DA-4139-A350-F6D1A78CDA1F}"/>
            </a:ext>
          </a:extLst>
        </xdr:cNvPr>
        <xdr:cNvCxnSpPr>
          <a:stCxn id="11" idx="1"/>
        </xdr:cNvCxnSpPr>
      </xdr:nvCxnSpPr>
      <xdr:spPr>
        <a:xfrm flipH="1">
          <a:off x="17194582" y="4643212"/>
          <a:ext cx="449942" cy="7846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1165560</xdr:colOff>
      <xdr:row>21</xdr:row>
      <xdr:rowOff>50132</xdr:rowOff>
    </xdr:from>
    <xdr:to>
      <xdr:col>21</xdr:col>
      <xdr:colOff>1258392</xdr:colOff>
      <xdr:row>24</xdr:row>
      <xdr:rowOff>154778</xdr:rowOff>
    </xdr:to>
    <xdr:sp macro="" textlink="">
      <xdr:nvSpPr>
        <xdr:cNvPr id="4" name="TextBox 27">
          <a:extLst>
            <a:ext uri="{FF2B5EF4-FFF2-40B4-BE49-F238E27FC236}">
              <a16:creationId xmlns:a16="http://schemas.microsoft.com/office/drawing/2014/main" id="{44950183-F53D-4466-9E1E-52DAC81383FE}"/>
            </a:ext>
          </a:extLst>
        </xdr:cNvPr>
        <xdr:cNvSpPr txBox="1"/>
      </xdr:nvSpPr>
      <xdr:spPr>
        <a:xfrm>
          <a:off x="19363323" y="5401678"/>
          <a:ext cx="4128424" cy="6310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8" name="TextBox 17">
          <a:extLst>
            <a:ext uri="{FF2B5EF4-FFF2-40B4-BE49-F238E27FC236}">
              <a16:creationId xmlns:a16="http://schemas.microsoft.com/office/drawing/2014/main" id="{73B8433E-F4DC-4605-91CF-180CC6E3056A}"/>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638175</xdr:colOff>
      <xdr:row>20</xdr:row>
      <xdr:rowOff>28575</xdr:rowOff>
    </xdr:from>
    <xdr:to>
      <xdr:col>15</xdr:col>
      <xdr:colOff>81689</xdr:colOff>
      <xdr:row>23</xdr:row>
      <xdr:rowOff>158842</xdr:rowOff>
    </xdr:to>
    <xdr:cxnSp macro="">
      <xdr:nvCxnSpPr>
        <xdr:cNvPr id="2" name="Straight Arrow Connector 1">
          <a:extLst>
            <a:ext uri="{FF2B5EF4-FFF2-40B4-BE49-F238E27FC236}">
              <a16:creationId xmlns:a16="http://schemas.microsoft.com/office/drawing/2014/main" id="{ACF552BC-3555-4D21-84B5-23B2C554D80F}"/>
            </a:ext>
          </a:extLst>
        </xdr:cNvPr>
        <xdr:cNvCxnSpPr>
          <a:stCxn id="12" idx="0"/>
        </xdr:cNvCxnSpPr>
      </xdr:nvCxnSpPr>
      <xdr:spPr>
        <a:xfrm flipH="1" flipV="1">
          <a:off x="16878300" y="4991100"/>
          <a:ext cx="691289" cy="67319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xdr:row>
      <xdr:rowOff>123825</xdr:rowOff>
    </xdr:from>
    <xdr:to>
      <xdr:col>14</xdr:col>
      <xdr:colOff>210912</xdr:colOff>
      <xdr:row>19</xdr:row>
      <xdr:rowOff>36739</xdr:rowOff>
    </xdr:to>
    <xdr:cxnSp macro="">
      <xdr:nvCxnSpPr>
        <xdr:cNvPr id="3" name="Straight Arrow Connector 2">
          <a:extLst>
            <a:ext uri="{FF2B5EF4-FFF2-40B4-BE49-F238E27FC236}">
              <a16:creationId xmlns:a16="http://schemas.microsoft.com/office/drawing/2014/main" id="{99C4E8E5-0D2E-41AE-AF64-B67F06010E85}"/>
            </a:ext>
          </a:extLst>
        </xdr:cNvPr>
        <xdr:cNvCxnSpPr/>
      </xdr:nvCxnSpPr>
      <xdr:spPr>
        <a:xfrm>
          <a:off x="16240125" y="2730500"/>
          <a:ext cx="210912" cy="208778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7257</xdr:colOff>
      <xdr:row>19</xdr:row>
      <xdr:rowOff>84818</xdr:rowOff>
    </xdr:from>
    <xdr:to>
      <xdr:col>14</xdr:col>
      <xdr:colOff>152400</xdr:colOff>
      <xdr:row>19</xdr:row>
      <xdr:rowOff>84818</xdr:rowOff>
    </xdr:to>
    <xdr:cxnSp macro="">
      <xdr:nvCxnSpPr>
        <xdr:cNvPr id="7" name="Straight Arrow Connector 6">
          <a:extLst>
            <a:ext uri="{FF2B5EF4-FFF2-40B4-BE49-F238E27FC236}">
              <a16:creationId xmlns:a16="http://schemas.microsoft.com/office/drawing/2014/main" id="{33ED3424-3342-4FA3-8FEB-D6D201D89761}"/>
            </a:ext>
          </a:extLst>
        </xdr:cNvPr>
        <xdr:cNvCxnSpPr/>
      </xdr:nvCxnSpPr>
      <xdr:spPr>
        <a:xfrm>
          <a:off x="16250557" y="4869543"/>
          <a:ext cx="141968"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485775</xdr:colOff>
      <xdr:row>1</xdr:row>
      <xdr:rowOff>79694</xdr:rowOff>
    </xdr:from>
    <xdr:to>
      <xdr:col>14</xdr:col>
      <xdr:colOff>590550</xdr:colOff>
      <xdr:row>4</xdr:row>
      <xdr:rowOff>514350</xdr:rowOff>
    </xdr:to>
    <xdr:cxnSp macro="">
      <xdr:nvCxnSpPr>
        <xdr:cNvPr id="8" name="Straight Arrow Connector 20">
          <a:extLst>
            <a:ext uri="{FF2B5EF4-FFF2-40B4-BE49-F238E27FC236}">
              <a16:creationId xmlns:a16="http://schemas.microsoft.com/office/drawing/2014/main" id="{D79B0BF2-ED8B-4DEF-AEB0-92B94172A2D7}"/>
            </a:ext>
          </a:extLst>
        </xdr:cNvPr>
        <xdr:cNvCxnSpPr>
          <a:cxnSpLocks/>
        </xdr:cNvCxnSpPr>
      </xdr:nvCxnSpPr>
      <xdr:spPr>
        <a:xfrm flipH="1">
          <a:off x="15722600" y="482919"/>
          <a:ext cx="1108075" cy="107918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239577</xdr:colOff>
      <xdr:row>23</xdr:row>
      <xdr:rowOff>158842</xdr:rowOff>
    </xdr:from>
    <xdr:to>
      <xdr:col>16</xdr:col>
      <xdr:colOff>523875</xdr:colOff>
      <xdr:row>27</xdr:row>
      <xdr:rowOff>87992</xdr:rowOff>
    </xdr:to>
    <xdr:sp macro="" textlink="">
      <xdr:nvSpPr>
        <xdr:cNvPr id="12" name="TextBox 9">
          <a:extLst>
            <a:ext uri="{FF2B5EF4-FFF2-40B4-BE49-F238E27FC236}">
              <a16:creationId xmlns:a16="http://schemas.microsoft.com/office/drawing/2014/main" id="{2855A92D-85C7-4EC6-A9BF-9B5BA03D229D}"/>
            </a:ext>
          </a:extLst>
        </xdr:cNvPr>
        <xdr:cNvSpPr txBox="1"/>
      </xdr:nvSpPr>
      <xdr:spPr>
        <a:xfrm>
          <a:off x="16479702" y="5664292"/>
          <a:ext cx="2179773" cy="6530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511175</xdr:colOff>
      <xdr:row>2</xdr:row>
      <xdr:rowOff>161925</xdr:rowOff>
    </xdr:from>
    <xdr:to>
      <xdr:col>16</xdr:col>
      <xdr:colOff>522034</xdr:colOff>
      <xdr:row>4</xdr:row>
      <xdr:rowOff>314325</xdr:rowOff>
    </xdr:to>
    <xdr:cxnSp macro="">
      <xdr:nvCxnSpPr>
        <xdr:cNvPr id="13" name="Straight Arrow Connector 20">
          <a:extLst>
            <a:ext uri="{FF2B5EF4-FFF2-40B4-BE49-F238E27FC236}">
              <a16:creationId xmlns:a16="http://schemas.microsoft.com/office/drawing/2014/main" id="{DE43E722-0ED6-4DE8-B443-7A69AEACD420}"/>
            </a:ext>
          </a:extLst>
        </xdr:cNvPr>
        <xdr:cNvCxnSpPr>
          <a:cxnSpLocks/>
        </xdr:cNvCxnSpPr>
      </xdr:nvCxnSpPr>
      <xdr:spPr>
        <a:xfrm>
          <a:off x="17827625" y="819150"/>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577850</xdr:colOff>
      <xdr:row>0</xdr:row>
      <xdr:rowOff>152400</xdr:rowOff>
    </xdr:from>
    <xdr:to>
      <xdr:col>19</xdr:col>
      <xdr:colOff>571501</xdr:colOff>
      <xdr:row>2</xdr:row>
      <xdr:rowOff>149859</xdr:rowOff>
    </xdr:to>
    <xdr:sp macro="" textlink="">
      <xdr:nvSpPr>
        <xdr:cNvPr id="19" name="TextBox 8">
          <a:extLst>
            <a:ext uri="{FF2B5EF4-FFF2-40B4-BE49-F238E27FC236}">
              <a16:creationId xmlns:a16="http://schemas.microsoft.com/office/drawing/2014/main" id="{D701208D-C037-43A5-8C20-7BB62AC43AB3}"/>
            </a:ext>
          </a:extLst>
        </xdr:cNvPr>
        <xdr:cNvSpPr txBox="1"/>
      </xdr:nvSpPr>
      <xdr:spPr>
        <a:xfrm>
          <a:off x="16817975" y="152400"/>
          <a:ext cx="5880101" cy="6546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18</xdr:col>
      <xdr:colOff>898596</xdr:colOff>
      <xdr:row>24</xdr:row>
      <xdr:rowOff>127184</xdr:rowOff>
    </xdr:from>
    <xdr:to>
      <xdr:col>19</xdr:col>
      <xdr:colOff>413066</xdr:colOff>
      <xdr:row>25</xdr:row>
      <xdr:rowOff>164044</xdr:rowOff>
    </xdr:to>
    <xdr:cxnSp macro="">
      <xdr:nvCxnSpPr>
        <xdr:cNvPr id="22" name="Straight Arrow Connector 5">
          <a:extLst>
            <a:ext uri="{FF2B5EF4-FFF2-40B4-BE49-F238E27FC236}">
              <a16:creationId xmlns:a16="http://schemas.microsoft.com/office/drawing/2014/main" id="{9F0D0707-9363-4771-9308-A8C07A003DD9}"/>
            </a:ext>
          </a:extLst>
        </xdr:cNvPr>
        <xdr:cNvCxnSpPr/>
      </xdr:nvCxnSpPr>
      <xdr:spPr>
        <a:xfrm flipH="1">
          <a:off x="19202471" y="5604059"/>
          <a:ext cx="974970" cy="21148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293427</xdr:colOff>
      <xdr:row>24</xdr:row>
      <xdr:rowOff>103697</xdr:rowOff>
    </xdr:from>
    <xdr:to>
      <xdr:col>21</xdr:col>
      <xdr:colOff>678364</xdr:colOff>
      <xdr:row>25</xdr:row>
      <xdr:rowOff>168798</xdr:rowOff>
    </xdr:to>
    <xdr:cxnSp macro="">
      <xdr:nvCxnSpPr>
        <xdr:cNvPr id="12" name="Straight Arrow Connector 5">
          <a:extLst>
            <a:ext uri="{FF2B5EF4-FFF2-40B4-BE49-F238E27FC236}">
              <a16:creationId xmlns:a16="http://schemas.microsoft.com/office/drawing/2014/main" id="{33BADD3A-D49A-464E-9555-982CC7330F94}"/>
            </a:ext>
          </a:extLst>
        </xdr:cNvPr>
        <xdr:cNvCxnSpPr>
          <a:cxnSpLocks/>
          <a:stCxn id="7" idx="2"/>
        </xdr:cNvCxnSpPr>
      </xdr:nvCxnSpPr>
      <xdr:spPr>
        <a:xfrm>
          <a:off x="21513680" y="5891039"/>
          <a:ext cx="1518292" cy="24595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501718</xdr:colOff>
      <xdr:row>17</xdr:row>
      <xdr:rowOff>94592</xdr:rowOff>
    </xdr:from>
    <xdr:to>
      <xdr:col>21</xdr:col>
      <xdr:colOff>407082</xdr:colOff>
      <xdr:row>20</xdr:row>
      <xdr:rowOff>45059</xdr:rowOff>
    </xdr:to>
    <xdr:sp macro="" textlink="">
      <xdr:nvSpPr>
        <xdr:cNvPr id="20" name="TextBox 10">
          <a:extLst>
            <a:ext uri="{FF2B5EF4-FFF2-40B4-BE49-F238E27FC236}">
              <a16:creationId xmlns:a16="http://schemas.microsoft.com/office/drawing/2014/main" id="{F7B3E2AD-33DE-4380-A7B9-20BAFEA81FCF}"/>
            </a:ext>
          </a:extLst>
        </xdr:cNvPr>
        <xdr:cNvSpPr txBox="1"/>
      </xdr:nvSpPr>
      <xdr:spPr>
        <a:xfrm>
          <a:off x="18805593" y="4349092"/>
          <a:ext cx="3953489" cy="47434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36171</xdr:colOff>
      <xdr:row>18</xdr:row>
      <xdr:rowOff>161840</xdr:rowOff>
    </xdr:from>
    <xdr:to>
      <xdr:col>18</xdr:col>
      <xdr:colOff>504893</xdr:colOff>
      <xdr:row>19</xdr:row>
      <xdr:rowOff>96456</xdr:rowOff>
    </xdr:to>
    <xdr:cxnSp macro="">
      <xdr:nvCxnSpPr>
        <xdr:cNvPr id="24" name="Straight Arrow Connector 5">
          <a:extLst>
            <a:ext uri="{FF2B5EF4-FFF2-40B4-BE49-F238E27FC236}">
              <a16:creationId xmlns:a16="http://schemas.microsoft.com/office/drawing/2014/main" id="{F412573F-2985-4D6A-AD11-9C7208B11D81}"/>
            </a:ext>
          </a:extLst>
        </xdr:cNvPr>
        <xdr:cNvCxnSpPr>
          <a:stCxn id="20" idx="1"/>
        </xdr:cNvCxnSpPr>
      </xdr:nvCxnSpPr>
      <xdr:spPr>
        <a:xfrm flipH="1">
          <a:off x="18338639" y="4671144"/>
          <a:ext cx="468722" cy="11547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1145412</xdr:colOff>
      <xdr:row>21</xdr:row>
      <xdr:rowOff>12058</xdr:rowOff>
    </xdr:from>
    <xdr:to>
      <xdr:col>21</xdr:col>
      <xdr:colOff>1222696</xdr:colOff>
      <xdr:row>24</xdr:row>
      <xdr:rowOff>100522</xdr:rowOff>
    </xdr:to>
    <xdr:sp macro="" textlink="">
      <xdr:nvSpPr>
        <xdr:cNvPr id="7" name="TextBox 27">
          <a:extLst>
            <a:ext uri="{FF2B5EF4-FFF2-40B4-BE49-F238E27FC236}">
              <a16:creationId xmlns:a16="http://schemas.microsoft.com/office/drawing/2014/main" id="{8DC4546D-A646-4782-929B-6CFF74CCC2EA}"/>
            </a:ext>
          </a:extLst>
        </xdr:cNvPr>
        <xdr:cNvSpPr txBox="1"/>
      </xdr:nvSpPr>
      <xdr:spPr>
        <a:xfrm>
          <a:off x="19447880" y="5256836"/>
          <a:ext cx="4128424" cy="6310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FAD466E3-EEAF-4D54-9BE0-C3070FB0E0BD}"/>
            </a:ext>
          </a:extLst>
        </xdr:cNvPr>
        <xdr:cNvSpPr txBox="1"/>
      </xdr:nvSpPr>
      <xdr:spPr>
        <a:xfrm>
          <a:off x="286871" y="959224"/>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1019175</xdr:colOff>
      <xdr:row>19</xdr:row>
      <xdr:rowOff>171450</xdr:rowOff>
    </xdr:from>
    <xdr:to>
      <xdr:col>15</xdr:col>
      <xdr:colOff>494166</xdr:colOff>
      <xdr:row>23</xdr:row>
      <xdr:rowOff>10433</xdr:rowOff>
    </xdr:to>
    <xdr:cxnSp macro="">
      <xdr:nvCxnSpPr>
        <xdr:cNvPr id="3" name="Straight Arrow Connector 5">
          <a:extLst>
            <a:ext uri="{FF2B5EF4-FFF2-40B4-BE49-F238E27FC236}">
              <a16:creationId xmlns:a16="http://schemas.microsoft.com/office/drawing/2014/main" id="{0AD80A28-B283-472E-AD0D-2E8981A3FD44}"/>
            </a:ext>
          </a:extLst>
        </xdr:cNvPr>
        <xdr:cNvCxnSpPr>
          <a:stCxn id="15" idx="0"/>
        </xdr:cNvCxnSpPr>
      </xdr:nvCxnSpPr>
      <xdr:spPr>
        <a:xfrm flipH="1" flipV="1">
          <a:off x="17256125" y="4953000"/>
          <a:ext cx="906916" cy="55970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xdr:row>
      <xdr:rowOff>82550</xdr:rowOff>
    </xdr:from>
    <xdr:to>
      <xdr:col>14</xdr:col>
      <xdr:colOff>247650</xdr:colOff>
      <xdr:row>19</xdr:row>
      <xdr:rowOff>19050</xdr:rowOff>
    </xdr:to>
    <xdr:cxnSp macro="">
      <xdr:nvCxnSpPr>
        <xdr:cNvPr id="4" name="Straight Arrow Connector 3">
          <a:extLst>
            <a:ext uri="{FF2B5EF4-FFF2-40B4-BE49-F238E27FC236}">
              <a16:creationId xmlns:a16="http://schemas.microsoft.com/office/drawing/2014/main" id="{354421DA-19C3-435E-8123-F46B69C0E978}"/>
            </a:ext>
          </a:extLst>
        </xdr:cNvPr>
        <xdr:cNvCxnSpPr/>
      </xdr:nvCxnSpPr>
      <xdr:spPr>
        <a:xfrm>
          <a:off x="16265525" y="2695575"/>
          <a:ext cx="222250" cy="210502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15875</xdr:colOff>
      <xdr:row>19</xdr:row>
      <xdr:rowOff>85725</xdr:rowOff>
    </xdr:from>
    <xdr:to>
      <xdr:col>14</xdr:col>
      <xdr:colOff>152400</xdr:colOff>
      <xdr:row>19</xdr:row>
      <xdr:rowOff>88155</xdr:rowOff>
    </xdr:to>
    <xdr:cxnSp macro="">
      <xdr:nvCxnSpPr>
        <xdr:cNvPr id="11" name="Straight Arrow Connector 10">
          <a:extLst>
            <a:ext uri="{FF2B5EF4-FFF2-40B4-BE49-F238E27FC236}">
              <a16:creationId xmlns:a16="http://schemas.microsoft.com/office/drawing/2014/main" id="{462712F0-5327-481A-AA3B-A7F36CBA637C}"/>
            </a:ext>
          </a:extLst>
        </xdr:cNvPr>
        <xdr:cNvCxnSpPr/>
      </xdr:nvCxnSpPr>
      <xdr:spPr>
        <a:xfrm flipV="1">
          <a:off x="16256000" y="4864100"/>
          <a:ext cx="136525" cy="243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438150</xdr:colOff>
      <xdr:row>1</xdr:row>
      <xdr:rowOff>196850</xdr:rowOff>
    </xdr:from>
    <xdr:to>
      <xdr:col>14</xdr:col>
      <xdr:colOff>234950</xdr:colOff>
      <xdr:row>4</xdr:row>
      <xdr:rowOff>361950</xdr:rowOff>
    </xdr:to>
    <xdr:cxnSp macro="">
      <xdr:nvCxnSpPr>
        <xdr:cNvPr id="13" name="Straight Arrow Connector 20">
          <a:extLst>
            <a:ext uri="{FF2B5EF4-FFF2-40B4-BE49-F238E27FC236}">
              <a16:creationId xmlns:a16="http://schemas.microsoft.com/office/drawing/2014/main" id="{23179191-C2CD-442A-9187-BC3B8FD1631B}"/>
            </a:ext>
          </a:extLst>
        </xdr:cNvPr>
        <xdr:cNvCxnSpPr>
          <a:cxnSpLocks/>
        </xdr:cNvCxnSpPr>
      </xdr:nvCxnSpPr>
      <xdr:spPr>
        <a:xfrm flipH="1">
          <a:off x="15678150" y="600075"/>
          <a:ext cx="800100" cy="8096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820056</xdr:colOff>
      <xdr:row>23</xdr:row>
      <xdr:rowOff>7258</xdr:rowOff>
    </xdr:from>
    <xdr:to>
      <xdr:col>16</xdr:col>
      <xdr:colOff>1038225</xdr:colOff>
      <xdr:row>26</xdr:row>
      <xdr:rowOff>82550</xdr:rowOff>
    </xdr:to>
    <xdr:sp macro="" textlink="">
      <xdr:nvSpPr>
        <xdr:cNvPr id="15" name="TextBox 9">
          <a:extLst>
            <a:ext uri="{FF2B5EF4-FFF2-40B4-BE49-F238E27FC236}">
              <a16:creationId xmlns:a16="http://schemas.microsoft.com/office/drawing/2014/main" id="{8208F481-2F0B-41AD-94B1-ECBB9B2511B1}"/>
            </a:ext>
          </a:extLst>
        </xdr:cNvPr>
        <xdr:cNvSpPr txBox="1"/>
      </xdr:nvSpPr>
      <xdr:spPr>
        <a:xfrm>
          <a:off x="17060181" y="5515883"/>
          <a:ext cx="2205719" cy="61821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539750</xdr:colOff>
      <xdr:row>2</xdr:row>
      <xdr:rowOff>133350</xdr:rowOff>
    </xdr:from>
    <xdr:to>
      <xdr:col>16</xdr:col>
      <xdr:colOff>550609</xdr:colOff>
      <xdr:row>4</xdr:row>
      <xdr:rowOff>285750</xdr:rowOff>
    </xdr:to>
    <xdr:cxnSp macro="">
      <xdr:nvCxnSpPr>
        <xdr:cNvPr id="17" name="Straight Arrow Connector 20">
          <a:extLst>
            <a:ext uri="{FF2B5EF4-FFF2-40B4-BE49-F238E27FC236}">
              <a16:creationId xmlns:a16="http://schemas.microsoft.com/office/drawing/2014/main" id="{CB94965E-39DD-44BA-8893-31E028CF4788}"/>
            </a:ext>
          </a:extLst>
        </xdr:cNvPr>
        <xdr:cNvCxnSpPr>
          <a:cxnSpLocks/>
        </xdr:cNvCxnSpPr>
      </xdr:nvCxnSpPr>
      <xdr:spPr>
        <a:xfrm>
          <a:off x="17941925" y="79057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257174</xdr:colOff>
      <xdr:row>0</xdr:row>
      <xdr:rowOff>133350</xdr:rowOff>
    </xdr:from>
    <xdr:to>
      <xdr:col>19</xdr:col>
      <xdr:colOff>152400</xdr:colOff>
      <xdr:row>2</xdr:row>
      <xdr:rowOff>130809</xdr:rowOff>
    </xdr:to>
    <xdr:sp macro="" textlink="">
      <xdr:nvSpPr>
        <xdr:cNvPr id="18" name="TextBox 8">
          <a:extLst>
            <a:ext uri="{FF2B5EF4-FFF2-40B4-BE49-F238E27FC236}">
              <a16:creationId xmlns:a16="http://schemas.microsoft.com/office/drawing/2014/main" id="{F953D4C4-3F68-4109-A6D0-2B9828B6BA43}"/>
            </a:ext>
          </a:extLst>
        </xdr:cNvPr>
        <xdr:cNvSpPr txBox="1"/>
      </xdr:nvSpPr>
      <xdr:spPr>
        <a:xfrm>
          <a:off x="16497299" y="133350"/>
          <a:ext cx="5876926" cy="6546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14</xdr:col>
      <xdr:colOff>752475</xdr:colOff>
      <xdr:row>9</xdr:row>
      <xdr:rowOff>19050</xdr:rowOff>
    </xdr:from>
    <xdr:to>
      <xdr:col>15</xdr:col>
      <xdr:colOff>433162</xdr:colOff>
      <xdr:row>14</xdr:row>
      <xdr:rowOff>124279</xdr:rowOff>
    </xdr:to>
    <xdr:cxnSp macro="">
      <xdr:nvCxnSpPr>
        <xdr:cNvPr id="22" name="Straight Arrow Connector 5">
          <a:extLst>
            <a:ext uri="{FF2B5EF4-FFF2-40B4-BE49-F238E27FC236}">
              <a16:creationId xmlns:a16="http://schemas.microsoft.com/office/drawing/2014/main" id="{0D0FD76A-1984-430E-AC05-D85880D67F78}"/>
            </a:ext>
          </a:extLst>
        </xdr:cNvPr>
        <xdr:cNvCxnSpPr>
          <a:stCxn id="21" idx="0"/>
        </xdr:cNvCxnSpPr>
      </xdr:nvCxnSpPr>
      <xdr:spPr>
        <a:xfrm flipH="1" flipV="1">
          <a:off x="16992600" y="2990850"/>
          <a:ext cx="995137" cy="101010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7257</xdr:colOff>
      <xdr:row>7</xdr:row>
      <xdr:rowOff>68037</xdr:rowOff>
    </xdr:from>
    <xdr:to>
      <xdr:col>14</xdr:col>
      <xdr:colOff>247650</xdr:colOff>
      <xdr:row>7</xdr:row>
      <xdr:rowOff>161925</xdr:rowOff>
    </xdr:to>
    <xdr:cxnSp macro="">
      <xdr:nvCxnSpPr>
        <xdr:cNvPr id="12" name="Straight Arrow Connector 2">
          <a:extLst>
            <a:ext uri="{FF2B5EF4-FFF2-40B4-BE49-F238E27FC236}">
              <a16:creationId xmlns:a16="http://schemas.microsoft.com/office/drawing/2014/main" id="{BD7BCCA1-D3BC-439C-8550-0E6DFECBE154}"/>
            </a:ext>
          </a:extLst>
        </xdr:cNvPr>
        <xdr:cNvCxnSpPr/>
      </xdr:nvCxnSpPr>
      <xdr:spPr>
        <a:xfrm>
          <a:off x="16247382" y="2677887"/>
          <a:ext cx="240393" cy="9388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8</xdr:row>
      <xdr:rowOff>95250</xdr:rowOff>
    </xdr:from>
    <xdr:to>
      <xdr:col>14</xdr:col>
      <xdr:colOff>152400</xdr:colOff>
      <xdr:row>8</xdr:row>
      <xdr:rowOff>95250</xdr:rowOff>
    </xdr:to>
    <xdr:cxnSp macro="">
      <xdr:nvCxnSpPr>
        <xdr:cNvPr id="7" name="Straight Arrow Connector 3">
          <a:extLst>
            <a:ext uri="{FF2B5EF4-FFF2-40B4-BE49-F238E27FC236}">
              <a16:creationId xmlns:a16="http://schemas.microsoft.com/office/drawing/2014/main" id="{CAE7A2C5-CEF3-4CD1-B0D5-B1E4B7490B6C}"/>
            </a:ext>
          </a:extLst>
        </xdr:cNvPr>
        <xdr:cNvCxnSpPr/>
      </xdr:nvCxnSpPr>
      <xdr:spPr>
        <a:xfrm>
          <a:off x="16240125" y="2886075"/>
          <a:ext cx="15240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514350</xdr:colOff>
      <xdr:row>1</xdr:row>
      <xdr:rowOff>70167</xdr:rowOff>
    </xdr:from>
    <xdr:to>
      <xdr:col>14</xdr:col>
      <xdr:colOff>695325</xdr:colOff>
      <xdr:row>4</xdr:row>
      <xdr:rowOff>381000</xdr:rowOff>
    </xdr:to>
    <xdr:cxnSp macro="">
      <xdr:nvCxnSpPr>
        <xdr:cNvPr id="31" name="Straight Arrow Connector 20">
          <a:extLst>
            <a:ext uri="{FF2B5EF4-FFF2-40B4-BE49-F238E27FC236}">
              <a16:creationId xmlns:a16="http://schemas.microsoft.com/office/drawing/2014/main" id="{70B11AB3-4EF1-4E36-9378-DB28937C0668}"/>
            </a:ext>
          </a:extLst>
        </xdr:cNvPr>
        <xdr:cNvCxnSpPr>
          <a:cxnSpLocks/>
          <a:stCxn id="27" idx="1"/>
        </xdr:cNvCxnSpPr>
      </xdr:nvCxnSpPr>
      <xdr:spPr>
        <a:xfrm flipH="1">
          <a:off x="15754350" y="470217"/>
          <a:ext cx="1181100" cy="95853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40821</xdr:colOff>
      <xdr:row>8</xdr:row>
      <xdr:rowOff>81643</xdr:rowOff>
    </xdr:from>
    <xdr:to>
      <xdr:col>18</xdr:col>
      <xdr:colOff>850899</xdr:colOff>
      <xdr:row>9</xdr:row>
      <xdr:rowOff>74215</xdr:rowOff>
    </xdr:to>
    <xdr:cxnSp macro="">
      <xdr:nvCxnSpPr>
        <xdr:cNvPr id="20" name="Straight Arrow Connector 5">
          <a:extLst>
            <a:ext uri="{FF2B5EF4-FFF2-40B4-BE49-F238E27FC236}">
              <a16:creationId xmlns:a16="http://schemas.microsoft.com/office/drawing/2014/main" id="{74355F68-FBA3-4EFA-8225-58C296315F26}"/>
            </a:ext>
          </a:extLst>
        </xdr:cNvPr>
        <xdr:cNvCxnSpPr>
          <a:stCxn id="19" idx="1"/>
        </xdr:cNvCxnSpPr>
      </xdr:nvCxnSpPr>
      <xdr:spPr>
        <a:xfrm flipH="1" flipV="1">
          <a:off x="17621250" y="2816679"/>
          <a:ext cx="810078" cy="16946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628198</xdr:colOff>
      <xdr:row>14</xdr:row>
      <xdr:rowOff>121104</xdr:rowOff>
    </xdr:from>
    <xdr:to>
      <xdr:col>16</xdr:col>
      <xdr:colOff>1047751</xdr:colOff>
      <xdr:row>18</xdr:row>
      <xdr:rowOff>69507</xdr:rowOff>
    </xdr:to>
    <xdr:sp macro="" textlink="">
      <xdr:nvSpPr>
        <xdr:cNvPr id="21" name="TextBox 7">
          <a:extLst>
            <a:ext uri="{FF2B5EF4-FFF2-40B4-BE49-F238E27FC236}">
              <a16:creationId xmlns:a16="http://schemas.microsoft.com/office/drawing/2014/main" id="{AF8F49AE-151F-4B62-A670-6C53BEE2E21F}"/>
            </a:ext>
          </a:extLst>
        </xdr:cNvPr>
        <xdr:cNvSpPr txBox="1"/>
      </xdr:nvSpPr>
      <xdr:spPr>
        <a:xfrm>
          <a:off x="16868323" y="3997779"/>
          <a:ext cx="2238828" cy="6723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hydrogen output.</a:t>
          </a:r>
          <a:endParaRPr lang="en-GB" sz="1100"/>
        </a:p>
      </xdr:txBody>
    </xdr:sp>
    <xdr:clientData/>
  </xdr:twoCellAnchor>
  <xdr:twoCellAnchor>
    <xdr:from>
      <xdr:col>19</xdr:col>
      <xdr:colOff>976539</xdr:colOff>
      <xdr:row>16</xdr:row>
      <xdr:rowOff>74043</xdr:rowOff>
    </xdr:from>
    <xdr:to>
      <xdr:col>19</xdr:col>
      <xdr:colOff>1171801</xdr:colOff>
      <xdr:row>19</xdr:row>
      <xdr:rowOff>40822</xdr:rowOff>
    </xdr:to>
    <xdr:cxnSp macro="">
      <xdr:nvCxnSpPr>
        <xdr:cNvPr id="14" name="Straight Arrow Connector 5">
          <a:extLst>
            <a:ext uri="{FF2B5EF4-FFF2-40B4-BE49-F238E27FC236}">
              <a16:creationId xmlns:a16="http://schemas.microsoft.com/office/drawing/2014/main" id="{3E4E9F43-10DB-4D69-A7A7-464F6BB3BCB9}"/>
            </a:ext>
          </a:extLst>
        </xdr:cNvPr>
        <xdr:cNvCxnSpPr>
          <a:cxnSpLocks/>
        </xdr:cNvCxnSpPr>
      </xdr:nvCxnSpPr>
      <xdr:spPr>
        <a:xfrm flipH="1">
          <a:off x="20012932" y="4224222"/>
          <a:ext cx="195262" cy="320564"/>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765174</xdr:colOff>
      <xdr:row>16</xdr:row>
      <xdr:rowOff>74043</xdr:rowOff>
    </xdr:from>
    <xdr:to>
      <xdr:col>19</xdr:col>
      <xdr:colOff>1171801</xdr:colOff>
      <xdr:row>19</xdr:row>
      <xdr:rowOff>136072</xdr:rowOff>
    </xdr:to>
    <xdr:cxnSp macro="">
      <xdr:nvCxnSpPr>
        <xdr:cNvPr id="13" name="Straight Arrow Connector 5">
          <a:extLst>
            <a:ext uri="{FF2B5EF4-FFF2-40B4-BE49-F238E27FC236}">
              <a16:creationId xmlns:a16="http://schemas.microsoft.com/office/drawing/2014/main" id="{DD19A4E8-28D4-40F8-B4EA-F68B0BC4E759}"/>
            </a:ext>
          </a:extLst>
        </xdr:cNvPr>
        <xdr:cNvCxnSpPr>
          <a:cxnSpLocks/>
        </xdr:cNvCxnSpPr>
      </xdr:nvCxnSpPr>
      <xdr:spPr>
        <a:xfrm flipH="1">
          <a:off x="18345603" y="4224222"/>
          <a:ext cx="1862591" cy="415814"/>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499390</xdr:colOff>
      <xdr:row>16</xdr:row>
      <xdr:rowOff>69052</xdr:rowOff>
    </xdr:from>
    <xdr:to>
      <xdr:col>21</xdr:col>
      <xdr:colOff>1006929</xdr:colOff>
      <xdr:row>17</xdr:row>
      <xdr:rowOff>125640</xdr:rowOff>
    </xdr:to>
    <xdr:cxnSp macro="">
      <xdr:nvCxnSpPr>
        <xdr:cNvPr id="24" name="Straight Arrow Connector 5">
          <a:extLst>
            <a:ext uri="{FF2B5EF4-FFF2-40B4-BE49-F238E27FC236}">
              <a16:creationId xmlns:a16="http://schemas.microsoft.com/office/drawing/2014/main" id="{8AC5EA3E-AF6F-4477-AA20-56CBA32B7A03}"/>
            </a:ext>
          </a:extLst>
        </xdr:cNvPr>
        <xdr:cNvCxnSpPr>
          <a:cxnSpLocks/>
          <a:stCxn id="15" idx="2"/>
        </xdr:cNvCxnSpPr>
      </xdr:nvCxnSpPr>
      <xdr:spPr>
        <a:xfrm>
          <a:off x="20991747" y="4219231"/>
          <a:ext cx="1636932" cy="23348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854074</xdr:colOff>
      <xdr:row>7</xdr:row>
      <xdr:rowOff>98426</xdr:rowOff>
    </xdr:from>
    <xdr:to>
      <xdr:col>20</xdr:col>
      <xdr:colOff>551542</xdr:colOff>
      <xdr:row>11</xdr:row>
      <xdr:rowOff>43654</xdr:rowOff>
    </xdr:to>
    <xdr:sp macro="" textlink="">
      <xdr:nvSpPr>
        <xdr:cNvPr id="19" name="TextBox 13">
          <a:extLst>
            <a:ext uri="{FF2B5EF4-FFF2-40B4-BE49-F238E27FC236}">
              <a16:creationId xmlns:a16="http://schemas.microsoft.com/office/drawing/2014/main" id="{15CE515F-EBB5-420A-9F25-CB86467BCF83}"/>
            </a:ext>
          </a:extLst>
        </xdr:cNvPr>
        <xdr:cNvSpPr txBox="1"/>
      </xdr:nvSpPr>
      <xdr:spPr>
        <a:xfrm>
          <a:off x="18434503" y="2656569"/>
          <a:ext cx="2609396" cy="65279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1347106</xdr:colOff>
      <xdr:row>12</xdr:row>
      <xdr:rowOff>136071</xdr:rowOff>
    </xdr:from>
    <xdr:to>
      <xdr:col>21</xdr:col>
      <xdr:colOff>1440559</xdr:colOff>
      <xdr:row>16</xdr:row>
      <xdr:rowOff>65877</xdr:rowOff>
    </xdr:to>
    <xdr:sp macro="" textlink="">
      <xdr:nvSpPr>
        <xdr:cNvPr id="15" name="TextBox 27">
          <a:extLst>
            <a:ext uri="{FF2B5EF4-FFF2-40B4-BE49-F238E27FC236}">
              <a16:creationId xmlns:a16="http://schemas.microsoft.com/office/drawing/2014/main" id="{4B3515C0-8D7E-4DC3-A07B-5ABE12F3D387}"/>
            </a:ext>
          </a:extLst>
        </xdr:cNvPr>
        <xdr:cNvSpPr txBox="1"/>
      </xdr:nvSpPr>
      <xdr:spPr>
        <a:xfrm>
          <a:off x="18927535" y="3578678"/>
          <a:ext cx="4134774"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5</xdr:col>
      <xdr:colOff>755649</xdr:colOff>
      <xdr:row>79</xdr:row>
      <xdr:rowOff>139700</xdr:rowOff>
    </xdr:from>
    <xdr:to>
      <xdr:col>7</xdr:col>
      <xdr:colOff>644977</xdr:colOff>
      <xdr:row>82</xdr:row>
      <xdr:rowOff>73479</xdr:rowOff>
    </xdr:to>
    <xdr:sp macro="" textlink="">
      <xdr:nvSpPr>
        <xdr:cNvPr id="2" name="TextBox 7">
          <a:extLst>
            <a:ext uri="{FF2B5EF4-FFF2-40B4-BE49-F238E27FC236}">
              <a16:creationId xmlns:a16="http://schemas.microsoft.com/office/drawing/2014/main" id="{6FA6D547-FD74-47AF-92DA-6D09F38FBF6C}"/>
            </a:ext>
          </a:extLst>
        </xdr:cNvPr>
        <xdr:cNvSpPr txBox="1"/>
      </xdr:nvSpPr>
      <xdr:spPr>
        <a:xfrm>
          <a:off x="7108824" y="16722725"/>
          <a:ext cx="2984953" cy="47670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a:t>
          </a:r>
          <a:r>
            <a:rPr lang="en-GB" sz="1100" baseline="0">
              <a:solidFill>
                <a:schemeClr val="dk1"/>
              </a:solidFill>
              <a:effectLst/>
              <a:latin typeface="+mn-lt"/>
              <a:ea typeface="+mn-ea"/>
              <a:cs typeface="+mn-cs"/>
            </a:rPr>
            <a:t> 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 capture rate is linked to the response given in the Initial questions worksheet.</a:t>
          </a:r>
          <a:endParaRPr lang="en-GB">
            <a:effectLst/>
          </a:endParaRPr>
        </a:p>
      </xdr:txBody>
    </xdr:sp>
    <xdr:clientData/>
  </xdr:twoCellAnchor>
  <xdr:twoCellAnchor>
    <xdr:from>
      <xdr:col>5</xdr:col>
      <xdr:colOff>38100</xdr:colOff>
      <xdr:row>79</xdr:row>
      <xdr:rowOff>91441</xdr:rowOff>
    </xdr:from>
    <xdr:to>
      <xdr:col>5</xdr:col>
      <xdr:colOff>753744</xdr:colOff>
      <xdr:row>81</xdr:row>
      <xdr:rowOff>16238</xdr:rowOff>
    </xdr:to>
    <xdr:cxnSp macro="">
      <xdr:nvCxnSpPr>
        <xdr:cNvPr id="17" name="Straight Arrow Connector 5">
          <a:extLst>
            <a:ext uri="{FF2B5EF4-FFF2-40B4-BE49-F238E27FC236}">
              <a16:creationId xmlns:a16="http://schemas.microsoft.com/office/drawing/2014/main" id="{C8252406-8A1F-4D19-A169-9ABCF12003B6}"/>
            </a:ext>
          </a:extLst>
        </xdr:cNvPr>
        <xdr:cNvCxnSpPr>
          <a:stCxn id="2" idx="1"/>
        </xdr:cNvCxnSpPr>
      </xdr:nvCxnSpPr>
      <xdr:spPr>
        <a:xfrm flipH="1" flipV="1">
          <a:off x="6297386" y="16392798"/>
          <a:ext cx="715644" cy="2785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xdr:row>
      <xdr:rowOff>0</xdr:rowOff>
    </xdr:from>
    <xdr:to>
      <xdr:col>2</xdr:col>
      <xdr:colOff>2371567</xdr:colOff>
      <xdr:row>4</xdr:row>
      <xdr:rowOff>828130</xdr:rowOff>
    </xdr:to>
    <xdr:sp macro="" textlink="">
      <xdr:nvSpPr>
        <xdr:cNvPr id="18" name="TextBox 17">
          <a:extLst>
            <a:ext uri="{FF2B5EF4-FFF2-40B4-BE49-F238E27FC236}">
              <a16:creationId xmlns:a16="http://schemas.microsoft.com/office/drawing/2014/main" id="{24BECDBC-B988-4221-9B33-3DF67F6B9F52}"/>
            </a:ext>
          </a:extLst>
        </xdr:cNvPr>
        <xdr:cNvSpPr txBox="1"/>
      </xdr:nvSpPr>
      <xdr:spPr>
        <a:xfrm>
          <a:off x="286871" y="99508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695325</xdr:colOff>
      <xdr:row>0</xdr:row>
      <xdr:rowOff>139700</xdr:rowOff>
    </xdr:from>
    <xdr:to>
      <xdr:col>19</xdr:col>
      <xdr:colOff>1000125</xdr:colOff>
      <xdr:row>2</xdr:row>
      <xdr:rowOff>143509</xdr:rowOff>
    </xdr:to>
    <xdr:sp macro="" textlink="">
      <xdr:nvSpPr>
        <xdr:cNvPr id="27" name="TextBox 8">
          <a:extLst>
            <a:ext uri="{FF2B5EF4-FFF2-40B4-BE49-F238E27FC236}">
              <a16:creationId xmlns:a16="http://schemas.microsoft.com/office/drawing/2014/main" id="{1E2F1CFC-155A-48C8-A47B-E970F775F2E1}"/>
            </a:ext>
          </a:extLst>
        </xdr:cNvPr>
        <xdr:cNvSpPr txBox="1"/>
      </xdr:nvSpPr>
      <xdr:spPr>
        <a:xfrm>
          <a:off x="16935450" y="139700"/>
          <a:ext cx="5943600" cy="6610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twoCellAnchor>
    <xdr:from>
      <xdr:col>16</xdr:col>
      <xdr:colOff>473075</xdr:colOff>
      <xdr:row>2</xdr:row>
      <xdr:rowOff>142875</xdr:rowOff>
    </xdr:from>
    <xdr:to>
      <xdr:col>16</xdr:col>
      <xdr:colOff>483934</xdr:colOff>
      <xdr:row>4</xdr:row>
      <xdr:rowOff>295275</xdr:rowOff>
    </xdr:to>
    <xdr:cxnSp macro="">
      <xdr:nvCxnSpPr>
        <xdr:cNvPr id="4" name="Straight Arrow Connector 3">
          <a:extLst>
            <a:ext uri="{FF2B5EF4-FFF2-40B4-BE49-F238E27FC236}">
              <a16:creationId xmlns:a16="http://schemas.microsoft.com/office/drawing/2014/main" id="{3D190BAC-3842-418F-B99A-FEA9044B54F9}"/>
            </a:ext>
          </a:extLst>
        </xdr:cNvPr>
        <xdr:cNvCxnSpPr>
          <a:cxnSpLocks/>
        </xdr:cNvCxnSpPr>
      </xdr:nvCxnSpPr>
      <xdr:spPr>
        <a:xfrm>
          <a:off x="17694275" y="800100"/>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6.xml><?xml version="1.0" encoding="utf-8"?>
<xdr:wsDr xmlns:xdr="http://schemas.openxmlformats.org/drawingml/2006/spreadsheetDrawing" xmlns:a="http://schemas.openxmlformats.org/drawingml/2006/main">
  <xdr:twoCellAnchor>
    <xdr:from>
      <xdr:col>18</xdr:col>
      <xdr:colOff>867682</xdr:colOff>
      <xdr:row>22</xdr:row>
      <xdr:rowOff>149678</xdr:rowOff>
    </xdr:from>
    <xdr:to>
      <xdr:col>19</xdr:col>
      <xdr:colOff>694872</xdr:colOff>
      <xdr:row>25</xdr:row>
      <xdr:rowOff>119291</xdr:rowOff>
    </xdr:to>
    <xdr:cxnSp macro="">
      <xdr:nvCxnSpPr>
        <xdr:cNvPr id="14" name="Straight Arrow Connector 5">
          <a:extLst>
            <a:ext uri="{FF2B5EF4-FFF2-40B4-BE49-F238E27FC236}">
              <a16:creationId xmlns:a16="http://schemas.microsoft.com/office/drawing/2014/main" id="{1AB6D7EE-859A-4F73-817D-8F7412A39AA2}"/>
            </a:ext>
          </a:extLst>
        </xdr:cNvPr>
        <xdr:cNvCxnSpPr/>
      </xdr:nvCxnSpPr>
      <xdr:spPr>
        <a:xfrm flipH="1">
          <a:off x="18924361" y="5347607"/>
          <a:ext cx="1283154" cy="50029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461064</xdr:colOff>
      <xdr:row>24</xdr:row>
      <xdr:rowOff>126203</xdr:rowOff>
    </xdr:from>
    <xdr:to>
      <xdr:col>21</xdr:col>
      <xdr:colOff>552450</xdr:colOff>
      <xdr:row>25</xdr:row>
      <xdr:rowOff>152400</xdr:rowOff>
    </xdr:to>
    <xdr:cxnSp macro="">
      <xdr:nvCxnSpPr>
        <xdr:cNvPr id="6" name="Straight Arrow Connector 5">
          <a:extLst>
            <a:ext uri="{FF2B5EF4-FFF2-40B4-BE49-F238E27FC236}">
              <a16:creationId xmlns:a16="http://schemas.microsoft.com/office/drawing/2014/main" id="{92009B3E-3720-4597-B7E9-790F63C81679}"/>
            </a:ext>
          </a:extLst>
        </xdr:cNvPr>
        <xdr:cNvCxnSpPr>
          <a:cxnSpLocks/>
          <a:stCxn id="5" idx="2"/>
        </xdr:cNvCxnSpPr>
      </xdr:nvCxnSpPr>
      <xdr:spPr>
        <a:xfrm>
          <a:off x="23054364" y="5984078"/>
          <a:ext cx="1605861" cy="21669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1038225</xdr:colOff>
      <xdr:row>21</xdr:row>
      <xdr:rowOff>25854</xdr:rowOff>
    </xdr:from>
    <xdr:to>
      <xdr:col>21</xdr:col>
      <xdr:colOff>1131678</xdr:colOff>
      <xdr:row>24</xdr:row>
      <xdr:rowOff>126203</xdr:rowOff>
    </xdr:to>
    <xdr:sp macro="" textlink="">
      <xdr:nvSpPr>
        <xdr:cNvPr id="5" name="TextBox 27">
          <a:extLst>
            <a:ext uri="{FF2B5EF4-FFF2-40B4-BE49-F238E27FC236}">
              <a16:creationId xmlns:a16="http://schemas.microsoft.com/office/drawing/2014/main" id="{711A298F-710F-4043-9E4D-250390F28464}"/>
            </a:ext>
          </a:extLst>
        </xdr:cNvPr>
        <xdr:cNvSpPr txBox="1"/>
      </xdr:nvSpPr>
      <xdr:spPr>
        <a:xfrm>
          <a:off x="20869275" y="5312229"/>
          <a:ext cx="4370178" cy="67184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2" name="TextBox 17">
          <a:extLst>
            <a:ext uri="{FF2B5EF4-FFF2-40B4-BE49-F238E27FC236}">
              <a16:creationId xmlns:a16="http://schemas.microsoft.com/office/drawing/2014/main" id="{550630D7-731F-4F34-877D-55E994FEBCE7}"/>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13</xdr:col>
      <xdr:colOff>438150</xdr:colOff>
      <xdr:row>1</xdr:row>
      <xdr:rowOff>52707</xdr:rowOff>
    </xdr:from>
    <xdr:to>
      <xdr:col>14</xdr:col>
      <xdr:colOff>263525</xdr:colOff>
      <xdr:row>4</xdr:row>
      <xdr:rowOff>361950</xdr:rowOff>
    </xdr:to>
    <xdr:cxnSp macro="">
      <xdr:nvCxnSpPr>
        <xdr:cNvPr id="9" name="Straight Arrow Connector 20">
          <a:extLst>
            <a:ext uri="{FF2B5EF4-FFF2-40B4-BE49-F238E27FC236}">
              <a16:creationId xmlns:a16="http://schemas.microsoft.com/office/drawing/2014/main" id="{EBF7E48D-DEB6-4B46-A57D-F7F170E61AB8}"/>
            </a:ext>
          </a:extLst>
        </xdr:cNvPr>
        <xdr:cNvCxnSpPr>
          <a:cxnSpLocks/>
          <a:stCxn id="15" idx="1"/>
        </xdr:cNvCxnSpPr>
      </xdr:nvCxnSpPr>
      <xdr:spPr>
        <a:xfrm flipH="1">
          <a:off x="15678150" y="452757"/>
          <a:ext cx="825500" cy="95694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542925</xdr:colOff>
      <xdr:row>2</xdr:row>
      <xdr:rowOff>142875</xdr:rowOff>
    </xdr:from>
    <xdr:to>
      <xdr:col>16</xdr:col>
      <xdr:colOff>550609</xdr:colOff>
      <xdr:row>4</xdr:row>
      <xdr:rowOff>333375</xdr:rowOff>
    </xdr:to>
    <xdr:cxnSp macro="">
      <xdr:nvCxnSpPr>
        <xdr:cNvPr id="13" name="Straight Arrow Connector 12">
          <a:extLst>
            <a:ext uri="{FF2B5EF4-FFF2-40B4-BE49-F238E27FC236}">
              <a16:creationId xmlns:a16="http://schemas.microsoft.com/office/drawing/2014/main" id="{28B64C13-FC6D-46FF-B0B3-80CA0E2F9907}"/>
            </a:ext>
          </a:extLst>
        </xdr:cNvPr>
        <xdr:cNvCxnSpPr>
          <a:cxnSpLocks/>
        </xdr:cNvCxnSpPr>
      </xdr:nvCxnSpPr>
      <xdr:spPr>
        <a:xfrm>
          <a:off x="17945100" y="800100"/>
          <a:ext cx="7684" cy="5715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263525</xdr:colOff>
      <xdr:row>0</xdr:row>
      <xdr:rowOff>101600</xdr:rowOff>
    </xdr:from>
    <xdr:to>
      <xdr:col>19</xdr:col>
      <xdr:colOff>225425</xdr:colOff>
      <xdr:row>2</xdr:row>
      <xdr:rowOff>140338</xdr:rowOff>
    </xdr:to>
    <xdr:sp macro="" textlink="">
      <xdr:nvSpPr>
        <xdr:cNvPr id="15" name="TextBox 13">
          <a:extLst>
            <a:ext uri="{FF2B5EF4-FFF2-40B4-BE49-F238E27FC236}">
              <a16:creationId xmlns:a16="http://schemas.microsoft.com/office/drawing/2014/main" id="{31468C97-BC9D-4387-A728-E17032C78969}"/>
            </a:ext>
          </a:extLst>
        </xdr:cNvPr>
        <xdr:cNvSpPr txBox="1"/>
      </xdr:nvSpPr>
      <xdr:spPr>
        <a:xfrm>
          <a:off x="16503650" y="101600"/>
          <a:ext cx="5943600" cy="69596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twoCellAnchor>
    <xdr:from>
      <xdr:col>17</xdr:col>
      <xdr:colOff>1085850</xdr:colOff>
      <xdr:row>18</xdr:row>
      <xdr:rowOff>0</xdr:rowOff>
    </xdr:from>
    <xdr:to>
      <xdr:col>20</xdr:col>
      <xdr:colOff>175760</xdr:colOff>
      <xdr:row>19</xdr:row>
      <xdr:rowOff>66674</xdr:rowOff>
    </xdr:to>
    <xdr:cxnSp macro="">
      <xdr:nvCxnSpPr>
        <xdr:cNvPr id="7" name="Straight Arrow Connector 5">
          <a:extLst>
            <a:ext uri="{FF2B5EF4-FFF2-40B4-BE49-F238E27FC236}">
              <a16:creationId xmlns:a16="http://schemas.microsoft.com/office/drawing/2014/main" id="{58AC77BE-CA0F-4A1D-B627-2F9C40E97E05}"/>
            </a:ext>
          </a:extLst>
        </xdr:cNvPr>
        <xdr:cNvCxnSpPr>
          <a:stCxn id="8" idx="0"/>
        </xdr:cNvCxnSpPr>
      </xdr:nvCxnSpPr>
      <xdr:spPr>
        <a:xfrm flipH="1">
          <a:off x="19745325" y="4714875"/>
          <a:ext cx="3023735" cy="25717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427719</xdr:colOff>
      <xdr:row>18</xdr:row>
      <xdr:rowOff>0</xdr:rowOff>
    </xdr:from>
    <xdr:to>
      <xdr:col>21</xdr:col>
      <xdr:colOff>1228725</xdr:colOff>
      <xdr:row>20</xdr:row>
      <xdr:rowOff>76199</xdr:rowOff>
    </xdr:to>
    <xdr:sp macro="" textlink="">
      <xdr:nvSpPr>
        <xdr:cNvPr id="8" name="TextBox 7">
          <a:extLst>
            <a:ext uri="{FF2B5EF4-FFF2-40B4-BE49-F238E27FC236}">
              <a16:creationId xmlns:a16="http://schemas.microsoft.com/office/drawing/2014/main" id="{4836C611-05DD-4636-94D2-670A97BFFFB1}"/>
            </a:ext>
          </a:extLst>
        </xdr:cNvPr>
        <xdr:cNvSpPr txBox="1"/>
      </xdr:nvSpPr>
      <xdr:spPr>
        <a:xfrm>
          <a:off x="20258769" y="4714875"/>
          <a:ext cx="5077731" cy="45719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18</xdr:col>
      <xdr:colOff>1044123</xdr:colOff>
      <xdr:row>24</xdr:row>
      <xdr:rowOff>124732</xdr:rowOff>
    </xdr:from>
    <xdr:to>
      <xdr:col>19</xdr:col>
      <xdr:colOff>560161</xdr:colOff>
      <xdr:row>25</xdr:row>
      <xdr:rowOff>167822</xdr:rowOff>
    </xdr:to>
    <xdr:cxnSp macro="">
      <xdr:nvCxnSpPr>
        <xdr:cNvPr id="25" name="Straight Arrow Connector 5">
          <a:extLst>
            <a:ext uri="{FF2B5EF4-FFF2-40B4-BE49-F238E27FC236}">
              <a16:creationId xmlns:a16="http://schemas.microsoft.com/office/drawing/2014/main" id="{6E30B32F-D925-4A66-94FB-3C61D41ADA5C}"/>
            </a:ext>
          </a:extLst>
        </xdr:cNvPr>
        <xdr:cNvCxnSpPr/>
      </xdr:nvCxnSpPr>
      <xdr:spPr>
        <a:xfrm flipH="1">
          <a:off x="19268623" y="5807982"/>
          <a:ext cx="976538" cy="21771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273512</xdr:colOff>
      <xdr:row>24</xdr:row>
      <xdr:rowOff>97628</xdr:rowOff>
    </xdr:from>
    <xdr:to>
      <xdr:col>21</xdr:col>
      <xdr:colOff>666750</xdr:colOff>
      <xdr:row>25</xdr:row>
      <xdr:rowOff>161925</xdr:rowOff>
    </xdr:to>
    <xdr:cxnSp macro="">
      <xdr:nvCxnSpPr>
        <xdr:cNvPr id="5" name="Straight Arrow Connector 5">
          <a:extLst>
            <a:ext uri="{FF2B5EF4-FFF2-40B4-BE49-F238E27FC236}">
              <a16:creationId xmlns:a16="http://schemas.microsoft.com/office/drawing/2014/main" id="{9A9C841A-0239-4B7B-BCB2-2C6C154E8389}"/>
            </a:ext>
          </a:extLst>
        </xdr:cNvPr>
        <xdr:cNvCxnSpPr>
          <a:cxnSpLocks/>
          <a:stCxn id="4" idx="2"/>
        </xdr:cNvCxnSpPr>
      </xdr:nvCxnSpPr>
      <xdr:spPr>
        <a:xfrm>
          <a:off x="21419012" y="5971378"/>
          <a:ext cx="1520363" cy="23892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472620</xdr:colOff>
      <xdr:row>17</xdr:row>
      <xdr:rowOff>80284</xdr:rowOff>
    </xdr:from>
    <xdr:to>
      <xdr:col>21</xdr:col>
      <xdr:colOff>380999</xdr:colOff>
      <xdr:row>20</xdr:row>
      <xdr:rowOff>46265</xdr:rowOff>
    </xdr:to>
    <xdr:sp macro="" textlink="">
      <xdr:nvSpPr>
        <xdr:cNvPr id="6" name="TextBox 10">
          <a:extLst>
            <a:ext uri="{FF2B5EF4-FFF2-40B4-BE49-F238E27FC236}">
              <a16:creationId xmlns:a16="http://schemas.microsoft.com/office/drawing/2014/main" id="{B545ABD1-DA45-4BF7-A720-34462CCE1766}"/>
            </a:ext>
          </a:extLst>
        </xdr:cNvPr>
        <xdr:cNvSpPr txBox="1"/>
      </xdr:nvSpPr>
      <xdr:spPr>
        <a:xfrm>
          <a:off x="18697120" y="4541159"/>
          <a:ext cx="3956504"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step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0</xdr:colOff>
      <xdr:row>18</xdr:row>
      <xdr:rowOff>153762</xdr:rowOff>
    </xdr:from>
    <xdr:to>
      <xdr:col>18</xdr:col>
      <xdr:colOff>469445</xdr:colOff>
      <xdr:row>19</xdr:row>
      <xdr:rowOff>63500</xdr:rowOff>
    </xdr:to>
    <xdr:cxnSp macro="">
      <xdr:nvCxnSpPr>
        <xdr:cNvPr id="28" name="Straight Arrow Connector 5">
          <a:extLst>
            <a:ext uri="{FF2B5EF4-FFF2-40B4-BE49-F238E27FC236}">
              <a16:creationId xmlns:a16="http://schemas.microsoft.com/office/drawing/2014/main" id="{F39ED327-7A6D-4310-8E35-012E52AD62C6}"/>
            </a:ext>
          </a:extLst>
        </xdr:cNvPr>
        <xdr:cNvCxnSpPr>
          <a:stCxn id="6" idx="1"/>
        </xdr:cNvCxnSpPr>
      </xdr:nvCxnSpPr>
      <xdr:spPr>
        <a:xfrm flipH="1">
          <a:off x="18224500" y="4789262"/>
          <a:ext cx="469445" cy="8436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1127125</xdr:colOff>
      <xdr:row>20</xdr:row>
      <xdr:rowOff>158750</xdr:rowOff>
    </xdr:from>
    <xdr:to>
      <xdr:col>21</xdr:col>
      <xdr:colOff>1213774</xdr:colOff>
      <xdr:row>24</xdr:row>
      <xdr:rowOff>97628</xdr:rowOff>
    </xdr:to>
    <xdr:sp macro="" textlink="">
      <xdr:nvSpPr>
        <xdr:cNvPr id="4" name="TextBox 27">
          <a:extLst>
            <a:ext uri="{FF2B5EF4-FFF2-40B4-BE49-F238E27FC236}">
              <a16:creationId xmlns:a16="http://schemas.microsoft.com/office/drawing/2014/main" id="{F5EEC906-33B9-4DA5-A254-F09E39C2F5A2}"/>
            </a:ext>
          </a:extLst>
        </xdr:cNvPr>
        <xdr:cNvSpPr txBox="1"/>
      </xdr:nvSpPr>
      <xdr:spPr>
        <a:xfrm>
          <a:off x="19351625" y="5334000"/>
          <a:ext cx="4134774"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7" name="TextBox 17">
          <a:extLst>
            <a:ext uri="{FF2B5EF4-FFF2-40B4-BE49-F238E27FC236}">
              <a16:creationId xmlns:a16="http://schemas.microsoft.com/office/drawing/2014/main" id="{64B83D81-3563-4474-B7DC-88FAC6AC02EB}"/>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981075</xdr:colOff>
      <xdr:row>20</xdr:row>
      <xdr:rowOff>19050</xdr:rowOff>
    </xdr:from>
    <xdr:to>
      <xdr:col>15</xdr:col>
      <xdr:colOff>284616</xdr:colOff>
      <xdr:row>23</xdr:row>
      <xdr:rowOff>908</xdr:rowOff>
    </xdr:to>
    <xdr:cxnSp macro="">
      <xdr:nvCxnSpPr>
        <xdr:cNvPr id="2" name="Straight Arrow Connector 5">
          <a:extLst>
            <a:ext uri="{FF2B5EF4-FFF2-40B4-BE49-F238E27FC236}">
              <a16:creationId xmlns:a16="http://schemas.microsoft.com/office/drawing/2014/main" id="{FDE72CF2-7DF2-4276-A1B7-615490D5B56B}"/>
            </a:ext>
          </a:extLst>
        </xdr:cNvPr>
        <xdr:cNvCxnSpPr>
          <a:stCxn id="10" idx="0"/>
        </xdr:cNvCxnSpPr>
      </xdr:nvCxnSpPr>
      <xdr:spPr>
        <a:xfrm flipH="1" flipV="1">
          <a:off x="17221200" y="4981575"/>
          <a:ext cx="732291" cy="5247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xdr:row>
      <xdr:rowOff>82550</xdr:rowOff>
    </xdr:from>
    <xdr:to>
      <xdr:col>14</xdr:col>
      <xdr:colOff>247650</xdr:colOff>
      <xdr:row>19</xdr:row>
      <xdr:rowOff>19050</xdr:rowOff>
    </xdr:to>
    <xdr:cxnSp macro="">
      <xdr:nvCxnSpPr>
        <xdr:cNvPr id="3" name="Straight Arrow Connector 2">
          <a:extLst>
            <a:ext uri="{FF2B5EF4-FFF2-40B4-BE49-F238E27FC236}">
              <a16:creationId xmlns:a16="http://schemas.microsoft.com/office/drawing/2014/main" id="{197F572E-1958-4992-BD8B-61D7E39D079F}"/>
            </a:ext>
          </a:extLst>
        </xdr:cNvPr>
        <xdr:cNvCxnSpPr/>
      </xdr:nvCxnSpPr>
      <xdr:spPr>
        <a:xfrm>
          <a:off x="16265525" y="2695575"/>
          <a:ext cx="222250" cy="210502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15875</xdr:colOff>
      <xdr:row>19</xdr:row>
      <xdr:rowOff>85725</xdr:rowOff>
    </xdr:from>
    <xdr:to>
      <xdr:col>14</xdr:col>
      <xdr:colOff>152400</xdr:colOff>
      <xdr:row>19</xdr:row>
      <xdr:rowOff>88155</xdr:rowOff>
    </xdr:to>
    <xdr:cxnSp macro="">
      <xdr:nvCxnSpPr>
        <xdr:cNvPr id="7" name="Straight Arrow Connector 6">
          <a:extLst>
            <a:ext uri="{FF2B5EF4-FFF2-40B4-BE49-F238E27FC236}">
              <a16:creationId xmlns:a16="http://schemas.microsoft.com/office/drawing/2014/main" id="{EA717287-89BF-481C-B3CB-2D880D49384B}"/>
            </a:ext>
          </a:extLst>
        </xdr:cNvPr>
        <xdr:cNvCxnSpPr/>
      </xdr:nvCxnSpPr>
      <xdr:spPr>
        <a:xfrm flipV="1">
          <a:off x="16256000" y="4864100"/>
          <a:ext cx="136525" cy="243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438150</xdr:colOff>
      <xdr:row>1</xdr:row>
      <xdr:rowOff>43182</xdr:rowOff>
    </xdr:from>
    <xdr:to>
      <xdr:col>14</xdr:col>
      <xdr:colOff>476250</xdr:colOff>
      <xdr:row>4</xdr:row>
      <xdr:rowOff>361950</xdr:rowOff>
    </xdr:to>
    <xdr:cxnSp macro="">
      <xdr:nvCxnSpPr>
        <xdr:cNvPr id="8" name="Straight Arrow Connector 20">
          <a:extLst>
            <a:ext uri="{FF2B5EF4-FFF2-40B4-BE49-F238E27FC236}">
              <a16:creationId xmlns:a16="http://schemas.microsoft.com/office/drawing/2014/main" id="{32EF2CF7-CE95-4F75-AD4C-2A1C13F1F39D}"/>
            </a:ext>
          </a:extLst>
        </xdr:cNvPr>
        <xdr:cNvCxnSpPr>
          <a:cxnSpLocks/>
          <a:stCxn id="14" idx="1"/>
        </xdr:cNvCxnSpPr>
      </xdr:nvCxnSpPr>
      <xdr:spPr>
        <a:xfrm flipH="1">
          <a:off x="15678150" y="443232"/>
          <a:ext cx="1038225" cy="96646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610506</xdr:colOff>
      <xdr:row>22</xdr:row>
      <xdr:rowOff>178708</xdr:rowOff>
    </xdr:from>
    <xdr:to>
      <xdr:col>16</xdr:col>
      <xdr:colOff>828675</xdr:colOff>
      <xdr:row>26</xdr:row>
      <xdr:rowOff>73025</xdr:rowOff>
    </xdr:to>
    <xdr:sp macro="" textlink="">
      <xdr:nvSpPr>
        <xdr:cNvPr id="10" name="TextBox 9">
          <a:extLst>
            <a:ext uri="{FF2B5EF4-FFF2-40B4-BE49-F238E27FC236}">
              <a16:creationId xmlns:a16="http://schemas.microsoft.com/office/drawing/2014/main" id="{084A329E-EF37-4747-9A29-91D50F6BA4F7}"/>
            </a:ext>
          </a:extLst>
        </xdr:cNvPr>
        <xdr:cNvSpPr txBox="1"/>
      </xdr:nvSpPr>
      <xdr:spPr>
        <a:xfrm>
          <a:off x="16850631" y="5503183"/>
          <a:ext cx="2208894" cy="61821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539750</xdr:colOff>
      <xdr:row>2</xdr:row>
      <xdr:rowOff>142875</xdr:rowOff>
    </xdr:from>
    <xdr:to>
      <xdr:col>16</xdr:col>
      <xdr:colOff>550609</xdr:colOff>
      <xdr:row>4</xdr:row>
      <xdr:rowOff>295275</xdr:rowOff>
    </xdr:to>
    <xdr:cxnSp macro="">
      <xdr:nvCxnSpPr>
        <xdr:cNvPr id="12" name="Straight Arrow Connector 11">
          <a:extLst>
            <a:ext uri="{FF2B5EF4-FFF2-40B4-BE49-F238E27FC236}">
              <a16:creationId xmlns:a16="http://schemas.microsoft.com/office/drawing/2014/main" id="{E4946328-26FC-41E1-A563-BF0B4CC4F0A8}"/>
            </a:ext>
          </a:extLst>
        </xdr:cNvPr>
        <xdr:cNvCxnSpPr>
          <a:cxnSpLocks/>
        </xdr:cNvCxnSpPr>
      </xdr:nvCxnSpPr>
      <xdr:spPr>
        <a:xfrm>
          <a:off x="17941925" y="800100"/>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476250</xdr:colOff>
      <xdr:row>0</xdr:row>
      <xdr:rowOff>95250</xdr:rowOff>
    </xdr:from>
    <xdr:to>
      <xdr:col>19</xdr:col>
      <xdr:colOff>368300</xdr:colOff>
      <xdr:row>2</xdr:row>
      <xdr:rowOff>133988</xdr:rowOff>
    </xdr:to>
    <xdr:sp macro="" textlink="">
      <xdr:nvSpPr>
        <xdr:cNvPr id="14" name="TextBox 13">
          <a:extLst>
            <a:ext uri="{FF2B5EF4-FFF2-40B4-BE49-F238E27FC236}">
              <a16:creationId xmlns:a16="http://schemas.microsoft.com/office/drawing/2014/main" id="{34827588-9078-416B-B2DE-8CA5E9AB4CC7}"/>
            </a:ext>
          </a:extLst>
        </xdr:cNvPr>
        <xdr:cNvSpPr txBox="1"/>
      </xdr:nvSpPr>
      <xdr:spPr>
        <a:xfrm>
          <a:off x="16716375" y="95250"/>
          <a:ext cx="5873750" cy="69596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18</xdr:col>
      <xdr:colOff>928462</xdr:colOff>
      <xdr:row>24</xdr:row>
      <xdr:rowOff>139246</xdr:rowOff>
    </xdr:from>
    <xdr:to>
      <xdr:col>19</xdr:col>
      <xdr:colOff>449036</xdr:colOff>
      <xdr:row>25</xdr:row>
      <xdr:rowOff>173718</xdr:rowOff>
    </xdr:to>
    <xdr:cxnSp macro="">
      <xdr:nvCxnSpPr>
        <xdr:cNvPr id="25" name="Straight Arrow Connector 5">
          <a:extLst>
            <a:ext uri="{FF2B5EF4-FFF2-40B4-BE49-F238E27FC236}">
              <a16:creationId xmlns:a16="http://schemas.microsoft.com/office/drawing/2014/main" id="{7132B7F0-B518-40BE-BDE7-E02C7A4ADE69}"/>
            </a:ext>
          </a:extLst>
        </xdr:cNvPr>
        <xdr:cNvCxnSpPr/>
      </xdr:nvCxnSpPr>
      <xdr:spPr>
        <a:xfrm flipH="1">
          <a:off x="19175641" y="5867853"/>
          <a:ext cx="976538" cy="21136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503111</xdr:colOff>
      <xdr:row>24</xdr:row>
      <xdr:rowOff>131374</xdr:rowOff>
    </xdr:from>
    <xdr:to>
      <xdr:col>21</xdr:col>
      <xdr:colOff>152400</xdr:colOff>
      <xdr:row>25</xdr:row>
      <xdr:rowOff>142875</xdr:rowOff>
    </xdr:to>
    <xdr:cxnSp macro="">
      <xdr:nvCxnSpPr>
        <xdr:cNvPr id="9" name="Straight Arrow Connector 5">
          <a:extLst>
            <a:ext uri="{FF2B5EF4-FFF2-40B4-BE49-F238E27FC236}">
              <a16:creationId xmlns:a16="http://schemas.microsoft.com/office/drawing/2014/main" id="{824D1A03-9D12-4849-AC59-8CD6F24011A2}"/>
            </a:ext>
          </a:extLst>
        </xdr:cNvPr>
        <xdr:cNvCxnSpPr>
          <a:cxnSpLocks/>
          <a:stCxn id="8" idx="2"/>
        </xdr:cNvCxnSpPr>
      </xdr:nvCxnSpPr>
      <xdr:spPr>
        <a:xfrm>
          <a:off x="20419886" y="5827324"/>
          <a:ext cx="1211389" cy="19247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479423</xdr:colOff>
      <xdr:row>17</xdr:row>
      <xdr:rowOff>84820</xdr:rowOff>
    </xdr:from>
    <xdr:to>
      <xdr:col>21</xdr:col>
      <xdr:colOff>391431</xdr:colOff>
      <xdr:row>20</xdr:row>
      <xdr:rowOff>43997</xdr:rowOff>
    </xdr:to>
    <xdr:sp macro="" textlink="">
      <xdr:nvSpPr>
        <xdr:cNvPr id="22" name="TextBox 10">
          <a:extLst>
            <a:ext uri="{FF2B5EF4-FFF2-40B4-BE49-F238E27FC236}">
              <a16:creationId xmlns:a16="http://schemas.microsoft.com/office/drawing/2014/main" id="{B39AF5B1-3F31-4123-BE32-2C76FA0EDE98}"/>
            </a:ext>
          </a:extLst>
        </xdr:cNvPr>
        <xdr:cNvSpPr txBox="1"/>
      </xdr:nvSpPr>
      <xdr:spPr>
        <a:xfrm>
          <a:off x="18726602" y="4575177"/>
          <a:ext cx="3953329"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13607</xdr:colOff>
      <xdr:row>18</xdr:row>
      <xdr:rowOff>156030</xdr:rowOff>
    </xdr:from>
    <xdr:to>
      <xdr:col>18</xdr:col>
      <xdr:colOff>479423</xdr:colOff>
      <xdr:row>19</xdr:row>
      <xdr:rowOff>68036</xdr:rowOff>
    </xdr:to>
    <xdr:cxnSp macro="">
      <xdr:nvCxnSpPr>
        <xdr:cNvPr id="4" name="Straight Arrow Connector 5">
          <a:extLst>
            <a:ext uri="{FF2B5EF4-FFF2-40B4-BE49-F238E27FC236}">
              <a16:creationId xmlns:a16="http://schemas.microsoft.com/office/drawing/2014/main" id="{52025157-3DEB-4FD5-AF9F-E5D79C7F69AD}"/>
            </a:ext>
          </a:extLst>
        </xdr:cNvPr>
        <xdr:cNvCxnSpPr>
          <a:stCxn id="22" idx="1"/>
        </xdr:cNvCxnSpPr>
      </xdr:nvCxnSpPr>
      <xdr:spPr>
        <a:xfrm flipH="1">
          <a:off x="18260786" y="4823280"/>
          <a:ext cx="465816" cy="8889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1102179</xdr:colOff>
      <xdr:row>21</xdr:row>
      <xdr:rowOff>27214</xdr:rowOff>
    </xdr:from>
    <xdr:to>
      <xdr:col>21</xdr:col>
      <xdr:colOff>1195632</xdr:colOff>
      <xdr:row>24</xdr:row>
      <xdr:rowOff>127564</xdr:rowOff>
    </xdr:to>
    <xdr:sp macro="" textlink="">
      <xdr:nvSpPr>
        <xdr:cNvPr id="8" name="TextBox 27">
          <a:extLst>
            <a:ext uri="{FF2B5EF4-FFF2-40B4-BE49-F238E27FC236}">
              <a16:creationId xmlns:a16="http://schemas.microsoft.com/office/drawing/2014/main" id="{55C14E26-3589-4BE2-8DD3-053169A7C565}"/>
            </a:ext>
          </a:extLst>
        </xdr:cNvPr>
        <xdr:cNvSpPr txBox="1"/>
      </xdr:nvSpPr>
      <xdr:spPr>
        <a:xfrm>
          <a:off x="19349358" y="5415643"/>
          <a:ext cx="4134774" cy="6310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FBE79F08-3835-45AB-86E0-C31985DAD546}"/>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5</xdr:col>
      <xdr:colOff>734786</xdr:colOff>
      <xdr:row>53</xdr:row>
      <xdr:rowOff>145869</xdr:rowOff>
    </xdr:from>
    <xdr:to>
      <xdr:col>7</xdr:col>
      <xdr:colOff>616676</xdr:colOff>
      <xdr:row>56</xdr:row>
      <xdr:rowOff>100783</xdr:rowOff>
    </xdr:to>
    <xdr:sp macro="" textlink="">
      <xdr:nvSpPr>
        <xdr:cNvPr id="18" name="TextBox 7">
          <a:extLst>
            <a:ext uri="{FF2B5EF4-FFF2-40B4-BE49-F238E27FC236}">
              <a16:creationId xmlns:a16="http://schemas.microsoft.com/office/drawing/2014/main" id="{62823CA3-1C84-425C-9549-E8B5481272D2}"/>
            </a:ext>
          </a:extLst>
        </xdr:cNvPr>
        <xdr:cNvSpPr txBox="1"/>
      </xdr:nvSpPr>
      <xdr:spPr>
        <a:xfrm>
          <a:off x="7211786" y="10895512"/>
          <a:ext cx="2684961" cy="48559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Applicants must</a:t>
          </a:r>
          <a:r>
            <a:rPr lang="en-GB" sz="1100" baseline="0">
              <a:solidFill>
                <a:schemeClr val="dk1"/>
              </a:solidFill>
              <a:effectLst/>
              <a:latin typeface="+mn-lt"/>
              <a:ea typeface="+mn-ea"/>
              <a:cs typeface="+mn-cs"/>
            </a:rPr>
            <a:t> include the feedstock split of biogenic vs. fossil (LHV energy basis)</a:t>
          </a:r>
          <a:endParaRPr lang="en-GB">
            <a:effectLst/>
          </a:endParaRPr>
        </a:p>
      </xdr:txBody>
    </xdr:sp>
    <xdr:clientData/>
  </xdr:twoCellAnchor>
  <xdr:twoCellAnchor>
    <xdr:from>
      <xdr:col>5</xdr:col>
      <xdr:colOff>13607</xdr:colOff>
      <xdr:row>52</xdr:row>
      <xdr:rowOff>81643</xdr:rowOff>
    </xdr:from>
    <xdr:to>
      <xdr:col>5</xdr:col>
      <xdr:colOff>734786</xdr:colOff>
      <xdr:row>55</xdr:row>
      <xdr:rowOff>37737</xdr:rowOff>
    </xdr:to>
    <xdr:cxnSp macro="">
      <xdr:nvCxnSpPr>
        <xdr:cNvPr id="19" name="Straight Arrow Connector 5">
          <a:extLst>
            <a:ext uri="{FF2B5EF4-FFF2-40B4-BE49-F238E27FC236}">
              <a16:creationId xmlns:a16="http://schemas.microsoft.com/office/drawing/2014/main" id="{6A0297DD-67F9-4821-B8EB-78DF9A1917F7}"/>
            </a:ext>
          </a:extLst>
        </xdr:cNvPr>
        <xdr:cNvCxnSpPr>
          <a:stCxn id="18" idx="1"/>
        </xdr:cNvCxnSpPr>
      </xdr:nvCxnSpPr>
      <xdr:spPr>
        <a:xfrm flipH="1" flipV="1">
          <a:off x="6490607" y="10654393"/>
          <a:ext cx="721179" cy="48677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638175</xdr:colOff>
      <xdr:row>20</xdr:row>
      <xdr:rowOff>28575</xdr:rowOff>
    </xdr:from>
    <xdr:to>
      <xdr:col>15</xdr:col>
      <xdr:colOff>299176</xdr:colOff>
      <xdr:row>23</xdr:row>
      <xdr:rowOff>162017</xdr:rowOff>
    </xdr:to>
    <xdr:cxnSp macro="">
      <xdr:nvCxnSpPr>
        <xdr:cNvPr id="2" name="Straight Arrow Connector 1">
          <a:extLst>
            <a:ext uri="{FF2B5EF4-FFF2-40B4-BE49-F238E27FC236}">
              <a16:creationId xmlns:a16="http://schemas.microsoft.com/office/drawing/2014/main" id="{8B2DAC09-E65A-4814-88F9-1CE495F4D42D}"/>
            </a:ext>
          </a:extLst>
        </xdr:cNvPr>
        <xdr:cNvCxnSpPr>
          <a:stCxn id="14" idx="0"/>
        </xdr:cNvCxnSpPr>
      </xdr:nvCxnSpPr>
      <xdr:spPr>
        <a:xfrm flipH="1" flipV="1">
          <a:off x="16144875" y="5124450"/>
          <a:ext cx="851626" cy="70494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xdr:row>
      <xdr:rowOff>123825</xdr:rowOff>
    </xdr:from>
    <xdr:to>
      <xdr:col>14</xdr:col>
      <xdr:colOff>210912</xdr:colOff>
      <xdr:row>19</xdr:row>
      <xdr:rowOff>36739</xdr:rowOff>
    </xdr:to>
    <xdr:cxnSp macro="">
      <xdr:nvCxnSpPr>
        <xdr:cNvPr id="10" name="Straight Arrow Connector 9">
          <a:extLst>
            <a:ext uri="{FF2B5EF4-FFF2-40B4-BE49-F238E27FC236}">
              <a16:creationId xmlns:a16="http://schemas.microsoft.com/office/drawing/2014/main" id="{62C3A4B9-D171-4F1D-995B-92B78961136E}"/>
            </a:ext>
          </a:extLst>
        </xdr:cNvPr>
        <xdr:cNvCxnSpPr/>
      </xdr:nvCxnSpPr>
      <xdr:spPr>
        <a:xfrm>
          <a:off x="16240125" y="2730500"/>
          <a:ext cx="210912" cy="208778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7257</xdr:colOff>
      <xdr:row>19</xdr:row>
      <xdr:rowOff>84818</xdr:rowOff>
    </xdr:from>
    <xdr:to>
      <xdr:col>14</xdr:col>
      <xdr:colOff>152400</xdr:colOff>
      <xdr:row>19</xdr:row>
      <xdr:rowOff>84818</xdr:rowOff>
    </xdr:to>
    <xdr:cxnSp macro="">
      <xdr:nvCxnSpPr>
        <xdr:cNvPr id="11" name="Straight Arrow Connector 10">
          <a:extLst>
            <a:ext uri="{FF2B5EF4-FFF2-40B4-BE49-F238E27FC236}">
              <a16:creationId xmlns:a16="http://schemas.microsoft.com/office/drawing/2014/main" id="{04899C75-1788-46AF-A7D6-E4C67472965E}"/>
            </a:ext>
          </a:extLst>
        </xdr:cNvPr>
        <xdr:cNvCxnSpPr/>
      </xdr:nvCxnSpPr>
      <xdr:spPr>
        <a:xfrm>
          <a:off x="16250557" y="4869543"/>
          <a:ext cx="141968"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485775</xdr:colOff>
      <xdr:row>1</xdr:row>
      <xdr:rowOff>79694</xdr:rowOff>
    </xdr:from>
    <xdr:to>
      <xdr:col>14</xdr:col>
      <xdr:colOff>590550</xdr:colOff>
      <xdr:row>4</xdr:row>
      <xdr:rowOff>514350</xdr:rowOff>
    </xdr:to>
    <xdr:cxnSp macro="">
      <xdr:nvCxnSpPr>
        <xdr:cNvPr id="12" name="Straight Arrow Connector 20">
          <a:extLst>
            <a:ext uri="{FF2B5EF4-FFF2-40B4-BE49-F238E27FC236}">
              <a16:creationId xmlns:a16="http://schemas.microsoft.com/office/drawing/2014/main" id="{27399F1E-3638-4A87-9113-3E13765226C9}"/>
            </a:ext>
          </a:extLst>
        </xdr:cNvPr>
        <xdr:cNvCxnSpPr>
          <a:cxnSpLocks/>
        </xdr:cNvCxnSpPr>
      </xdr:nvCxnSpPr>
      <xdr:spPr>
        <a:xfrm flipH="1">
          <a:off x="15722600" y="482919"/>
          <a:ext cx="1108075" cy="107918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236402</xdr:colOff>
      <xdr:row>23</xdr:row>
      <xdr:rowOff>162017</xdr:rowOff>
    </xdr:from>
    <xdr:to>
      <xdr:col>16</xdr:col>
      <xdr:colOff>933450</xdr:colOff>
      <xdr:row>27</xdr:row>
      <xdr:rowOff>84817</xdr:rowOff>
    </xdr:to>
    <xdr:sp macro="" textlink="">
      <xdr:nvSpPr>
        <xdr:cNvPr id="14" name="TextBox 9">
          <a:extLst>
            <a:ext uri="{FF2B5EF4-FFF2-40B4-BE49-F238E27FC236}">
              <a16:creationId xmlns:a16="http://schemas.microsoft.com/office/drawing/2014/main" id="{9E9E6216-8D5C-40F7-AA8E-4638714CEB4C}"/>
            </a:ext>
          </a:extLst>
        </xdr:cNvPr>
        <xdr:cNvSpPr txBox="1"/>
      </xdr:nvSpPr>
      <xdr:spPr>
        <a:xfrm>
          <a:off x="15743102" y="5829392"/>
          <a:ext cx="2506798" cy="68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520700</xdr:colOff>
      <xdr:row>2</xdr:row>
      <xdr:rowOff>171450</xdr:rowOff>
    </xdr:from>
    <xdr:to>
      <xdr:col>16</xdr:col>
      <xdr:colOff>531559</xdr:colOff>
      <xdr:row>4</xdr:row>
      <xdr:rowOff>323850</xdr:rowOff>
    </xdr:to>
    <xdr:cxnSp macro="">
      <xdr:nvCxnSpPr>
        <xdr:cNvPr id="15" name="Straight Arrow Connector 20">
          <a:extLst>
            <a:ext uri="{FF2B5EF4-FFF2-40B4-BE49-F238E27FC236}">
              <a16:creationId xmlns:a16="http://schemas.microsoft.com/office/drawing/2014/main" id="{72A1CDCB-FA78-4D90-97F1-696D23A4C970}"/>
            </a:ext>
          </a:extLst>
        </xdr:cNvPr>
        <xdr:cNvCxnSpPr>
          <a:cxnSpLocks/>
        </xdr:cNvCxnSpPr>
      </xdr:nvCxnSpPr>
      <xdr:spPr>
        <a:xfrm>
          <a:off x="17837150" y="82867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600075</xdr:colOff>
      <xdr:row>0</xdr:row>
      <xdr:rowOff>123825</xdr:rowOff>
    </xdr:from>
    <xdr:to>
      <xdr:col>19</xdr:col>
      <xdr:colOff>735784</xdr:colOff>
      <xdr:row>2</xdr:row>
      <xdr:rowOff>159388</xdr:rowOff>
    </xdr:to>
    <xdr:sp macro="" textlink="">
      <xdr:nvSpPr>
        <xdr:cNvPr id="20" name="TextBox 13">
          <a:extLst>
            <a:ext uri="{FF2B5EF4-FFF2-40B4-BE49-F238E27FC236}">
              <a16:creationId xmlns:a16="http://schemas.microsoft.com/office/drawing/2014/main" id="{31565A69-2330-4411-8E11-93BC641A8AAB}"/>
            </a:ext>
          </a:extLst>
        </xdr:cNvPr>
        <xdr:cNvSpPr txBox="1"/>
      </xdr:nvSpPr>
      <xdr:spPr>
        <a:xfrm>
          <a:off x="16840200" y="123825"/>
          <a:ext cx="6688909" cy="69278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18</xdr:col>
      <xdr:colOff>1059999</xdr:colOff>
      <xdr:row>25</xdr:row>
      <xdr:rowOff>0</xdr:rowOff>
    </xdr:from>
    <xdr:to>
      <xdr:col>19</xdr:col>
      <xdr:colOff>269875</xdr:colOff>
      <xdr:row>25</xdr:row>
      <xdr:rowOff>151947</xdr:rowOff>
    </xdr:to>
    <xdr:cxnSp macro="">
      <xdr:nvCxnSpPr>
        <xdr:cNvPr id="9" name="Straight Arrow Connector 5">
          <a:extLst>
            <a:ext uri="{FF2B5EF4-FFF2-40B4-BE49-F238E27FC236}">
              <a16:creationId xmlns:a16="http://schemas.microsoft.com/office/drawing/2014/main" id="{4B890FA1-E413-40AB-BB72-25AE7DB2EDB0}"/>
            </a:ext>
          </a:extLst>
        </xdr:cNvPr>
        <xdr:cNvCxnSpPr/>
      </xdr:nvCxnSpPr>
      <xdr:spPr>
        <a:xfrm flipH="1">
          <a:off x="19141624" y="6048375"/>
          <a:ext cx="670376" cy="151947"/>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51262</xdr:colOff>
      <xdr:row>24</xdr:row>
      <xdr:rowOff>164303</xdr:rowOff>
    </xdr:from>
    <xdr:to>
      <xdr:col>21</xdr:col>
      <xdr:colOff>714375</xdr:colOff>
      <xdr:row>25</xdr:row>
      <xdr:rowOff>111125</xdr:rowOff>
    </xdr:to>
    <xdr:cxnSp macro="">
      <xdr:nvCxnSpPr>
        <xdr:cNvPr id="8" name="Straight Arrow Connector 5">
          <a:extLst>
            <a:ext uri="{FF2B5EF4-FFF2-40B4-BE49-F238E27FC236}">
              <a16:creationId xmlns:a16="http://schemas.microsoft.com/office/drawing/2014/main" id="{E2768E8D-92A1-489E-B03F-DDF44AE3DFAA}"/>
            </a:ext>
          </a:extLst>
        </xdr:cNvPr>
        <xdr:cNvCxnSpPr>
          <a:cxnSpLocks/>
          <a:stCxn id="6" idx="2"/>
        </xdr:cNvCxnSpPr>
      </xdr:nvCxnSpPr>
      <xdr:spPr>
        <a:xfrm>
          <a:off x="21053887" y="6038053"/>
          <a:ext cx="1790238" cy="1214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491670</xdr:colOff>
      <xdr:row>17</xdr:row>
      <xdr:rowOff>127909</xdr:rowOff>
    </xdr:from>
    <xdr:to>
      <xdr:col>21</xdr:col>
      <xdr:colOff>393699</xdr:colOff>
      <xdr:row>20</xdr:row>
      <xdr:rowOff>93890</xdr:rowOff>
    </xdr:to>
    <xdr:sp macro="" textlink="">
      <xdr:nvSpPr>
        <xdr:cNvPr id="16" name="TextBox 10">
          <a:extLst>
            <a:ext uri="{FF2B5EF4-FFF2-40B4-BE49-F238E27FC236}">
              <a16:creationId xmlns:a16="http://schemas.microsoft.com/office/drawing/2014/main" id="{1B149603-54A5-4414-A8A4-62E8E92A1BCE}"/>
            </a:ext>
          </a:extLst>
        </xdr:cNvPr>
        <xdr:cNvSpPr txBox="1"/>
      </xdr:nvSpPr>
      <xdr:spPr>
        <a:xfrm>
          <a:off x="18573295" y="4588784"/>
          <a:ext cx="3950154"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15875</xdr:colOff>
      <xdr:row>19</xdr:row>
      <xdr:rowOff>22000</xdr:rowOff>
    </xdr:from>
    <xdr:to>
      <xdr:col>18</xdr:col>
      <xdr:colOff>488495</xdr:colOff>
      <xdr:row>19</xdr:row>
      <xdr:rowOff>161925</xdr:rowOff>
    </xdr:to>
    <xdr:cxnSp macro="">
      <xdr:nvCxnSpPr>
        <xdr:cNvPr id="29" name="Straight Arrow Connector 5">
          <a:extLst>
            <a:ext uri="{FF2B5EF4-FFF2-40B4-BE49-F238E27FC236}">
              <a16:creationId xmlns:a16="http://schemas.microsoft.com/office/drawing/2014/main" id="{75348B27-A43A-4F33-9DB6-95130906423A}"/>
            </a:ext>
          </a:extLst>
        </xdr:cNvPr>
        <xdr:cNvCxnSpPr>
          <a:stCxn id="16" idx="1"/>
        </xdr:cNvCxnSpPr>
      </xdr:nvCxnSpPr>
      <xdr:spPr>
        <a:xfrm flipH="1">
          <a:off x="18097500" y="4832125"/>
          <a:ext cx="472620" cy="1399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908050</xdr:colOff>
      <xdr:row>21</xdr:row>
      <xdr:rowOff>50800</xdr:rowOff>
    </xdr:from>
    <xdr:to>
      <xdr:col>21</xdr:col>
      <xdr:colOff>991524</xdr:colOff>
      <xdr:row>24</xdr:row>
      <xdr:rowOff>161128</xdr:rowOff>
    </xdr:to>
    <xdr:sp macro="" textlink="">
      <xdr:nvSpPr>
        <xdr:cNvPr id="6" name="TextBox 27">
          <a:extLst>
            <a:ext uri="{FF2B5EF4-FFF2-40B4-BE49-F238E27FC236}">
              <a16:creationId xmlns:a16="http://schemas.microsoft.com/office/drawing/2014/main" id="{03D482D5-CDF9-4A7B-91FE-5513C5894F5A}"/>
            </a:ext>
          </a:extLst>
        </xdr:cNvPr>
        <xdr:cNvSpPr txBox="1"/>
      </xdr:nvSpPr>
      <xdr:spPr>
        <a:xfrm>
          <a:off x="18989675" y="5400675"/>
          <a:ext cx="4131599" cy="6342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7" name="TextBox 17">
          <a:extLst>
            <a:ext uri="{FF2B5EF4-FFF2-40B4-BE49-F238E27FC236}">
              <a16:creationId xmlns:a16="http://schemas.microsoft.com/office/drawing/2014/main" id="{101D1978-E245-4DE0-A95A-A19F91C59534}"/>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1019175</xdr:colOff>
      <xdr:row>19</xdr:row>
      <xdr:rowOff>171450</xdr:rowOff>
    </xdr:from>
    <xdr:to>
      <xdr:col>15</xdr:col>
      <xdr:colOff>494166</xdr:colOff>
      <xdr:row>23</xdr:row>
      <xdr:rowOff>10433</xdr:rowOff>
    </xdr:to>
    <xdr:cxnSp macro="">
      <xdr:nvCxnSpPr>
        <xdr:cNvPr id="2" name="Straight Arrow Connector 5">
          <a:extLst>
            <a:ext uri="{FF2B5EF4-FFF2-40B4-BE49-F238E27FC236}">
              <a16:creationId xmlns:a16="http://schemas.microsoft.com/office/drawing/2014/main" id="{503CA115-EBFC-4E47-A8AF-75E394940F20}"/>
            </a:ext>
          </a:extLst>
        </xdr:cNvPr>
        <xdr:cNvCxnSpPr>
          <a:stCxn id="13" idx="0"/>
        </xdr:cNvCxnSpPr>
      </xdr:nvCxnSpPr>
      <xdr:spPr>
        <a:xfrm flipH="1" flipV="1">
          <a:off x="17259300" y="4953000"/>
          <a:ext cx="903741" cy="5628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xdr:row>
      <xdr:rowOff>82550</xdr:rowOff>
    </xdr:from>
    <xdr:to>
      <xdr:col>14</xdr:col>
      <xdr:colOff>247650</xdr:colOff>
      <xdr:row>19</xdr:row>
      <xdr:rowOff>19050</xdr:rowOff>
    </xdr:to>
    <xdr:cxnSp macro="">
      <xdr:nvCxnSpPr>
        <xdr:cNvPr id="4" name="Straight Arrow Connector 3">
          <a:extLst>
            <a:ext uri="{FF2B5EF4-FFF2-40B4-BE49-F238E27FC236}">
              <a16:creationId xmlns:a16="http://schemas.microsoft.com/office/drawing/2014/main" id="{B959596F-BF02-4EFA-84F5-6283DD5A7A8C}"/>
            </a:ext>
          </a:extLst>
        </xdr:cNvPr>
        <xdr:cNvCxnSpPr/>
      </xdr:nvCxnSpPr>
      <xdr:spPr>
        <a:xfrm>
          <a:off x="16265525" y="2695575"/>
          <a:ext cx="222250" cy="210502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15875</xdr:colOff>
      <xdr:row>19</xdr:row>
      <xdr:rowOff>85725</xdr:rowOff>
    </xdr:from>
    <xdr:to>
      <xdr:col>14</xdr:col>
      <xdr:colOff>152400</xdr:colOff>
      <xdr:row>19</xdr:row>
      <xdr:rowOff>88155</xdr:rowOff>
    </xdr:to>
    <xdr:cxnSp macro="">
      <xdr:nvCxnSpPr>
        <xdr:cNvPr id="5" name="Straight Arrow Connector 4">
          <a:extLst>
            <a:ext uri="{FF2B5EF4-FFF2-40B4-BE49-F238E27FC236}">
              <a16:creationId xmlns:a16="http://schemas.microsoft.com/office/drawing/2014/main" id="{CAEB862C-AABA-43A0-BC00-61418C2D7CD6}"/>
            </a:ext>
          </a:extLst>
        </xdr:cNvPr>
        <xdr:cNvCxnSpPr/>
      </xdr:nvCxnSpPr>
      <xdr:spPr>
        <a:xfrm flipV="1">
          <a:off x="16256000" y="4864100"/>
          <a:ext cx="136525" cy="243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438150</xdr:colOff>
      <xdr:row>1</xdr:row>
      <xdr:rowOff>196850</xdr:rowOff>
    </xdr:from>
    <xdr:to>
      <xdr:col>14</xdr:col>
      <xdr:colOff>234950</xdr:colOff>
      <xdr:row>4</xdr:row>
      <xdr:rowOff>361950</xdr:rowOff>
    </xdr:to>
    <xdr:cxnSp macro="">
      <xdr:nvCxnSpPr>
        <xdr:cNvPr id="10" name="Straight Arrow Connector 20">
          <a:extLst>
            <a:ext uri="{FF2B5EF4-FFF2-40B4-BE49-F238E27FC236}">
              <a16:creationId xmlns:a16="http://schemas.microsoft.com/office/drawing/2014/main" id="{34C8788D-7F81-4E53-95C7-CD750101ABFE}"/>
            </a:ext>
          </a:extLst>
        </xdr:cNvPr>
        <xdr:cNvCxnSpPr>
          <a:cxnSpLocks/>
        </xdr:cNvCxnSpPr>
      </xdr:nvCxnSpPr>
      <xdr:spPr>
        <a:xfrm flipH="1">
          <a:off x="15678150" y="600075"/>
          <a:ext cx="800100" cy="8096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820056</xdr:colOff>
      <xdr:row>23</xdr:row>
      <xdr:rowOff>7258</xdr:rowOff>
    </xdr:from>
    <xdr:to>
      <xdr:col>16</xdr:col>
      <xdr:colOff>1038225</xdr:colOff>
      <xdr:row>26</xdr:row>
      <xdr:rowOff>82550</xdr:rowOff>
    </xdr:to>
    <xdr:sp macro="" textlink="">
      <xdr:nvSpPr>
        <xdr:cNvPr id="13" name="TextBox 9">
          <a:extLst>
            <a:ext uri="{FF2B5EF4-FFF2-40B4-BE49-F238E27FC236}">
              <a16:creationId xmlns:a16="http://schemas.microsoft.com/office/drawing/2014/main" id="{891EED73-9A19-472A-AB53-CFBEA737FF65}"/>
            </a:ext>
          </a:extLst>
        </xdr:cNvPr>
        <xdr:cNvSpPr txBox="1"/>
      </xdr:nvSpPr>
      <xdr:spPr>
        <a:xfrm>
          <a:off x="17060181" y="5512708"/>
          <a:ext cx="2208894" cy="61821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492125</xdr:colOff>
      <xdr:row>2</xdr:row>
      <xdr:rowOff>142875</xdr:rowOff>
    </xdr:from>
    <xdr:to>
      <xdr:col>16</xdr:col>
      <xdr:colOff>502984</xdr:colOff>
      <xdr:row>4</xdr:row>
      <xdr:rowOff>295275</xdr:rowOff>
    </xdr:to>
    <xdr:cxnSp macro="">
      <xdr:nvCxnSpPr>
        <xdr:cNvPr id="14" name="Straight Arrow Connector 20">
          <a:extLst>
            <a:ext uri="{FF2B5EF4-FFF2-40B4-BE49-F238E27FC236}">
              <a16:creationId xmlns:a16="http://schemas.microsoft.com/office/drawing/2014/main" id="{101E01BB-F5BF-48BF-A926-249BDB544203}"/>
            </a:ext>
          </a:extLst>
        </xdr:cNvPr>
        <xdr:cNvCxnSpPr>
          <a:cxnSpLocks/>
        </xdr:cNvCxnSpPr>
      </xdr:nvCxnSpPr>
      <xdr:spPr>
        <a:xfrm>
          <a:off x="17894300" y="800100"/>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257175</xdr:colOff>
      <xdr:row>0</xdr:row>
      <xdr:rowOff>133350</xdr:rowOff>
    </xdr:from>
    <xdr:to>
      <xdr:col>18</xdr:col>
      <xdr:colOff>1168400</xdr:colOff>
      <xdr:row>2</xdr:row>
      <xdr:rowOff>130809</xdr:rowOff>
    </xdr:to>
    <xdr:sp macro="" textlink="">
      <xdr:nvSpPr>
        <xdr:cNvPr id="15" name="TextBox 8">
          <a:extLst>
            <a:ext uri="{FF2B5EF4-FFF2-40B4-BE49-F238E27FC236}">
              <a16:creationId xmlns:a16="http://schemas.microsoft.com/office/drawing/2014/main" id="{FD2B7541-7A51-4801-AB8E-4E6CF1FA7F5C}"/>
            </a:ext>
          </a:extLst>
        </xdr:cNvPr>
        <xdr:cNvSpPr txBox="1"/>
      </xdr:nvSpPr>
      <xdr:spPr>
        <a:xfrm>
          <a:off x="16497300" y="133350"/>
          <a:ext cx="5445125" cy="6546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33</xdr:row>
      <xdr:rowOff>0</xdr:rowOff>
    </xdr:from>
    <xdr:to>
      <xdr:col>9</xdr:col>
      <xdr:colOff>536864</xdr:colOff>
      <xdr:row>47</xdr:row>
      <xdr:rowOff>103909</xdr:rowOff>
    </xdr:to>
    <xdr:grpSp>
      <xdr:nvGrpSpPr>
        <xdr:cNvPr id="5" name="Group 4">
          <a:extLst>
            <a:ext uri="{FF2B5EF4-FFF2-40B4-BE49-F238E27FC236}">
              <a16:creationId xmlns:a16="http://schemas.microsoft.com/office/drawing/2014/main" id="{9C62CAAD-A5ED-4EBB-A3AA-4AF3D8EFDEF4}"/>
            </a:ext>
          </a:extLst>
        </xdr:cNvPr>
        <xdr:cNvGrpSpPr/>
      </xdr:nvGrpSpPr>
      <xdr:grpSpPr>
        <a:xfrm>
          <a:off x="609600" y="6667500"/>
          <a:ext cx="5416839" cy="2640734"/>
          <a:chOff x="606136" y="6987886"/>
          <a:chExt cx="6565546" cy="3307336"/>
        </a:xfrm>
      </xdr:grpSpPr>
      <xdr:pic>
        <xdr:nvPicPr>
          <xdr:cNvPr id="2" name="Picture 1">
            <a:extLst>
              <a:ext uri="{FF2B5EF4-FFF2-40B4-BE49-F238E27FC236}">
                <a16:creationId xmlns:a16="http://schemas.microsoft.com/office/drawing/2014/main" id="{B522A175-6F4F-4ED2-BA8B-FE05D951EAA2}"/>
              </a:ext>
            </a:extLst>
          </xdr:cNvPr>
          <xdr:cNvPicPr>
            <a:picLocks noChangeAspect="1"/>
          </xdr:cNvPicPr>
        </xdr:nvPicPr>
        <xdr:blipFill>
          <a:blip xmlns:r="http://schemas.openxmlformats.org/officeDocument/2006/relationships" r:embed="rId1"/>
          <a:stretch>
            <a:fillRect/>
          </a:stretch>
        </xdr:blipFill>
        <xdr:spPr>
          <a:xfrm>
            <a:off x="606136" y="6987886"/>
            <a:ext cx="6565546" cy="2593067"/>
          </a:xfrm>
          <a:prstGeom prst="rect">
            <a:avLst/>
          </a:prstGeom>
        </xdr:spPr>
      </xdr:pic>
      <xdr:pic>
        <xdr:nvPicPr>
          <xdr:cNvPr id="4" name="Picture 3">
            <a:extLst>
              <a:ext uri="{FF2B5EF4-FFF2-40B4-BE49-F238E27FC236}">
                <a16:creationId xmlns:a16="http://schemas.microsoft.com/office/drawing/2014/main" id="{5496E52C-065B-479D-AC25-1331FACC37C4}"/>
              </a:ext>
            </a:extLst>
          </xdr:cNvPr>
          <xdr:cNvPicPr>
            <a:picLocks noChangeAspect="1"/>
          </xdr:cNvPicPr>
        </xdr:nvPicPr>
        <xdr:blipFill>
          <a:blip xmlns:r="http://schemas.openxmlformats.org/officeDocument/2006/relationships" r:embed="rId2"/>
          <a:stretch>
            <a:fillRect/>
          </a:stretch>
        </xdr:blipFill>
        <xdr:spPr>
          <a:xfrm>
            <a:off x="798714" y="9538839"/>
            <a:ext cx="6037783" cy="756383"/>
          </a:xfrm>
          <a:prstGeom prst="rect">
            <a:avLst/>
          </a:prstGeom>
        </xdr:spPr>
      </xdr:pic>
    </xdr:grpSp>
    <xdr:clientData/>
  </xdr:twoCellAnchor>
  <xdr:twoCellAnchor editAs="oneCell">
    <xdr:from>
      <xdr:col>1</xdr:col>
      <xdr:colOff>11206</xdr:colOff>
      <xdr:row>11</xdr:row>
      <xdr:rowOff>89647</xdr:rowOff>
    </xdr:from>
    <xdr:to>
      <xdr:col>27</xdr:col>
      <xdr:colOff>425276</xdr:colOff>
      <xdr:row>25</xdr:row>
      <xdr:rowOff>136398</xdr:rowOff>
    </xdr:to>
    <xdr:pic>
      <xdr:nvPicPr>
        <xdr:cNvPr id="3" name="Picture 2">
          <a:extLst>
            <a:ext uri="{FF2B5EF4-FFF2-40B4-BE49-F238E27FC236}">
              <a16:creationId xmlns:a16="http://schemas.microsoft.com/office/drawing/2014/main" id="{AAB1ED55-C234-4900-943F-F906F551877D}"/>
            </a:ext>
          </a:extLst>
        </xdr:cNvPr>
        <xdr:cNvPicPr>
          <a:picLocks noChangeAspect="1"/>
        </xdr:cNvPicPr>
      </xdr:nvPicPr>
      <xdr:blipFill>
        <a:blip xmlns:r="http://schemas.openxmlformats.org/officeDocument/2006/relationships" r:embed="rId3"/>
        <a:stretch>
          <a:fillRect/>
        </a:stretch>
      </xdr:blipFill>
      <xdr:spPr>
        <a:xfrm>
          <a:off x="616324" y="2117912"/>
          <a:ext cx="16145223" cy="256067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14</xdr:col>
      <xdr:colOff>12674</xdr:colOff>
      <xdr:row>7</xdr:row>
      <xdr:rowOff>123826</xdr:rowOff>
    </xdr:from>
    <xdr:to>
      <xdr:col>14</xdr:col>
      <xdr:colOff>228600</xdr:colOff>
      <xdr:row>8</xdr:row>
      <xdr:rowOff>9525</xdr:rowOff>
    </xdr:to>
    <xdr:cxnSp macro="">
      <xdr:nvCxnSpPr>
        <xdr:cNvPr id="16" name="Straight Arrow Connector 2">
          <a:extLst>
            <a:ext uri="{FF2B5EF4-FFF2-40B4-BE49-F238E27FC236}">
              <a16:creationId xmlns:a16="http://schemas.microsoft.com/office/drawing/2014/main" id="{1ED01ED4-CEE6-474B-804E-DB81D66C390E}"/>
            </a:ext>
          </a:extLst>
        </xdr:cNvPr>
        <xdr:cNvCxnSpPr/>
      </xdr:nvCxnSpPr>
      <xdr:spPr>
        <a:xfrm>
          <a:off x="15519374" y="2743201"/>
          <a:ext cx="215926" cy="7619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945004</xdr:colOff>
      <xdr:row>8</xdr:row>
      <xdr:rowOff>101843</xdr:rowOff>
    </xdr:from>
    <xdr:to>
      <xdr:col>14</xdr:col>
      <xdr:colOff>219075</xdr:colOff>
      <xdr:row>8</xdr:row>
      <xdr:rowOff>104775</xdr:rowOff>
    </xdr:to>
    <xdr:cxnSp macro="">
      <xdr:nvCxnSpPr>
        <xdr:cNvPr id="27" name="Straight Arrow Connector 3">
          <a:extLst>
            <a:ext uri="{FF2B5EF4-FFF2-40B4-BE49-F238E27FC236}">
              <a16:creationId xmlns:a16="http://schemas.microsoft.com/office/drawing/2014/main" id="{2532EA52-5871-48A5-AFF4-2C015AF6C55D}"/>
            </a:ext>
          </a:extLst>
        </xdr:cNvPr>
        <xdr:cNvCxnSpPr/>
      </xdr:nvCxnSpPr>
      <xdr:spPr>
        <a:xfrm>
          <a:off x="15499204" y="2911718"/>
          <a:ext cx="226571" cy="293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542925</xdr:colOff>
      <xdr:row>1</xdr:row>
      <xdr:rowOff>50483</xdr:rowOff>
    </xdr:from>
    <xdr:to>
      <xdr:col>14</xdr:col>
      <xdr:colOff>825500</xdr:colOff>
      <xdr:row>4</xdr:row>
      <xdr:rowOff>314325</xdr:rowOff>
    </xdr:to>
    <xdr:cxnSp macro="">
      <xdr:nvCxnSpPr>
        <xdr:cNvPr id="221" name="Straight Arrow Connector 20">
          <a:extLst>
            <a:ext uri="{FF2B5EF4-FFF2-40B4-BE49-F238E27FC236}">
              <a16:creationId xmlns:a16="http://schemas.microsoft.com/office/drawing/2014/main" id="{2AC5A87A-9A80-42E0-B745-D17430B8D481}"/>
            </a:ext>
          </a:extLst>
        </xdr:cNvPr>
        <xdr:cNvCxnSpPr>
          <a:cxnSpLocks/>
          <a:stCxn id="263" idx="1"/>
        </xdr:cNvCxnSpPr>
      </xdr:nvCxnSpPr>
      <xdr:spPr>
        <a:xfrm flipH="1">
          <a:off x="15782925" y="450533"/>
          <a:ext cx="1282700" cy="91154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40821</xdr:colOff>
      <xdr:row>8</xdr:row>
      <xdr:rowOff>105682</xdr:rowOff>
    </xdr:from>
    <xdr:to>
      <xdr:col>18</xdr:col>
      <xdr:colOff>925285</xdr:colOff>
      <xdr:row>9</xdr:row>
      <xdr:rowOff>94797</xdr:rowOff>
    </xdr:to>
    <xdr:cxnSp macro="">
      <xdr:nvCxnSpPr>
        <xdr:cNvPr id="19" name="Straight Arrow Connector 5">
          <a:extLst>
            <a:ext uri="{FF2B5EF4-FFF2-40B4-BE49-F238E27FC236}">
              <a16:creationId xmlns:a16="http://schemas.microsoft.com/office/drawing/2014/main" id="{B57EAD90-30B3-47D1-9F7E-0778E62D10E7}"/>
            </a:ext>
          </a:extLst>
        </xdr:cNvPr>
        <xdr:cNvCxnSpPr>
          <a:stCxn id="218" idx="1"/>
        </xdr:cNvCxnSpPr>
      </xdr:nvCxnSpPr>
      <xdr:spPr>
        <a:xfrm flipH="1" flipV="1">
          <a:off x="20652921" y="2896507"/>
          <a:ext cx="884464" cy="17009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460829</xdr:colOff>
      <xdr:row>13</xdr:row>
      <xdr:rowOff>149679</xdr:rowOff>
    </xdr:from>
    <xdr:to>
      <xdr:col>16</xdr:col>
      <xdr:colOff>877467</xdr:colOff>
      <xdr:row>17</xdr:row>
      <xdr:rowOff>98082</xdr:rowOff>
    </xdr:to>
    <xdr:sp macro="" textlink="">
      <xdr:nvSpPr>
        <xdr:cNvPr id="219" name="TextBox 7">
          <a:extLst>
            <a:ext uri="{FF2B5EF4-FFF2-40B4-BE49-F238E27FC236}">
              <a16:creationId xmlns:a16="http://schemas.microsoft.com/office/drawing/2014/main" id="{6F46E245-BFD7-4FDF-B929-AD154E54C962}"/>
            </a:ext>
          </a:extLst>
        </xdr:cNvPr>
        <xdr:cNvSpPr txBox="1"/>
      </xdr:nvSpPr>
      <xdr:spPr>
        <a:xfrm>
          <a:off x="15967529" y="3912054"/>
          <a:ext cx="2159713" cy="7104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hydrogen output.</a:t>
          </a:r>
          <a:endParaRPr lang="en-GB" sz="1100"/>
        </a:p>
      </xdr:txBody>
    </xdr:sp>
    <xdr:clientData/>
  </xdr:twoCellAnchor>
  <xdr:twoCellAnchor>
    <xdr:from>
      <xdr:col>14</xdr:col>
      <xdr:colOff>828675</xdr:colOff>
      <xdr:row>0</xdr:row>
      <xdr:rowOff>120016</xdr:rowOff>
    </xdr:from>
    <xdr:to>
      <xdr:col>19</xdr:col>
      <xdr:colOff>609600</xdr:colOff>
      <xdr:row>2</xdr:row>
      <xdr:rowOff>123825</xdr:rowOff>
    </xdr:to>
    <xdr:sp macro="" textlink="">
      <xdr:nvSpPr>
        <xdr:cNvPr id="263" name="TextBox 8">
          <a:extLst>
            <a:ext uri="{FF2B5EF4-FFF2-40B4-BE49-F238E27FC236}">
              <a16:creationId xmlns:a16="http://schemas.microsoft.com/office/drawing/2014/main" id="{D417B058-7EBD-4A38-A36D-985AC7A8E7C5}"/>
            </a:ext>
          </a:extLst>
        </xdr:cNvPr>
        <xdr:cNvSpPr txBox="1"/>
      </xdr:nvSpPr>
      <xdr:spPr>
        <a:xfrm>
          <a:off x="16335375" y="120016"/>
          <a:ext cx="5334000" cy="6610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twoCellAnchor>
    <xdr:from>
      <xdr:col>19</xdr:col>
      <xdr:colOff>1170214</xdr:colOff>
      <xdr:row>16</xdr:row>
      <xdr:rowOff>98082</xdr:rowOff>
    </xdr:from>
    <xdr:to>
      <xdr:col>19</xdr:col>
      <xdr:colOff>1368651</xdr:colOff>
      <xdr:row>19</xdr:row>
      <xdr:rowOff>95250</xdr:rowOff>
    </xdr:to>
    <xdr:cxnSp macro="">
      <xdr:nvCxnSpPr>
        <xdr:cNvPr id="13" name="Straight Arrow Connector 5">
          <a:extLst>
            <a:ext uri="{FF2B5EF4-FFF2-40B4-BE49-F238E27FC236}">
              <a16:creationId xmlns:a16="http://schemas.microsoft.com/office/drawing/2014/main" id="{513698B3-48EC-4FAA-BF1A-9683A22A2693}"/>
            </a:ext>
          </a:extLst>
        </xdr:cNvPr>
        <xdr:cNvCxnSpPr>
          <a:cxnSpLocks/>
        </xdr:cNvCxnSpPr>
      </xdr:nvCxnSpPr>
      <xdr:spPr>
        <a:xfrm flipH="1">
          <a:off x="20206607" y="4248261"/>
          <a:ext cx="198437" cy="350953"/>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1074964</xdr:colOff>
      <xdr:row>16</xdr:row>
      <xdr:rowOff>98082</xdr:rowOff>
    </xdr:from>
    <xdr:to>
      <xdr:col>19</xdr:col>
      <xdr:colOff>1368651</xdr:colOff>
      <xdr:row>19</xdr:row>
      <xdr:rowOff>122465</xdr:rowOff>
    </xdr:to>
    <xdr:cxnSp macro="">
      <xdr:nvCxnSpPr>
        <xdr:cNvPr id="11" name="Straight Arrow Connector 5">
          <a:extLst>
            <a:ext uri="{FF2B5EF4-FFF2-40B4-BE49-F238E27FC236}">
              <a16:creationId xmlns:a16="http://schemas.microsoft.com/office/drawing/2014/main" id="{FD4DE8D4-F5D9-4D23-9036-C1AB3E5F2766}"/>
            </a:ext>
          </a:extLst>
        </xdr:cNvPr>
        <xdr:cNvCxnSpPr>
          <a:cxnSpLocks/>
        </xdr:cNvCxnSpPr>
      </xdr:nvCxnSpPr>
      <xdr:spPr>
        <a:xfrm flipH="1">
          <a:off x="18655393" y="4248261"/>
          <a:ext cx="1749651" cy="37816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155584</xdr:colOff>
      <xdr:row>16</xdr:row>
      <xdr:rowOff>63973</xdr:rowOff>
    </xdr:from>
    <xdr:to>
      <xdr:col>21</xdr:col>
      <xdr:colOff>421821</xdr:colOff>
      <xdr:row>19</xdr:row>
      <xdr:rowOff>68036</xdr:rowOff>
    </xdr:to>
    <xdr:cxnSp macro="">
      <xdr:nvCxnSpPr>
        <xdr:cNvPr id="4" name="Straight Arrow Connector 5">
          <a:extLst>
            <a:ext uri="{FF2B5EF4-FFF2-40B4-BE49-F238E27FC236}">
              <a16:creationId xmlns:a16="http://schemas.microsoft.com/office/drawing/2014/main" id="{4B65EF19-AAB4-422C-A8CC-24586438C75D}"/>
            </a:ext>
          </a:extLst>
        </xdr:cNvPr>
        <xdr:cNvCxnSpPr>
          <a:cxnSpLocks/>
          <a:stCxn id="23" idx="2"/>
        </xdr:cNvCxnSpPr>
      </xdr:nvCxnSpPr>
      <xdr:spPr>
        <a:xfrm>
          <a:off x="20239727" y="4200544"/>
          <a:ext cx="1382023" cy="35784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922110</xdr:colOff>
      <xdr:row>7</xdr:row>
      <xdr:rowOff>84819</xdr:rowOff>
    </xdr:from>
    <xdr:to>
      <xdr:col>20</xdr:col>
      <xdr:colOff>619578</xdr:colOff>
      <xdr:row>11</xdr:row>
      <xdr:rowOff>104775</xdr:rowOff>
    </xdr:to>
    <xdr:sp macro="" textlink="">
      <xdr:nvSpPr>
        <xdr:cNvPr id="218" name="TextBox 13">
          <a:extLst>
            <a:ext uri="{FF2B5EF4-FFF2-40B4-BE49-F238E27FC236}">
              <a16:creationId xmlns:a16="http://schemas.microsoft.com/office/drawing/2014/main" id="{DF92A05F-E484-42DD-832C-A971146361CB}"/>
            </a:ext>
          </a:extLst>
        </xdr:cNvPr>
        <xdr:cNvSpPr txBox="1"/>
      </xdr:nvSpPr>
      <xdr:spPr>
        <a:xfrm>
          <a:off x="20600760" y="2704194"/>
          <a:ext cx="2459718" cy="7819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979714</xdr:colOff>
      <xdr:row>12</xdr:row>
      <xdr:rowOff>136072</xdr:rowOff>
    </xdr:from>
    <xdr:to>
      <xdr:col>21</xdr:col>
      <xdr:colOff>1073167</xdr:colOff>
      <xdr:row>16</xdr:row>
      <xdr:rowOff>65878</xdr:rowOff>
    </xdr:to>
    <xdr:sp macro="" textlink="">
      <xdr:nvSpPr>
        <xdr:cNvPr id="23" name="TextBox 27">
          <a:extLst>
            <a:ext uri="{FF2B5EF4-FFF2-40B4-BE49-F238E27FC236}">
              <a16:creationId xmlns:a16="http://schemas.microsoft.com/office/drawing/2014/main" id="{F69F615A-A200-4B86-B0A5-04E9AFA5C931}"/>
            </a:ext>
          </a:extLst>
        </xdr:cNvPr>
        <xdr:cNvSpPr txBox="1"/>
      </xdr:nvSpPr>
      <xdr:spPr>
        <a:xfrm>
          <a:off x="18560143" y="3578679"/>
          <a:ext cx="4134774"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5</xdr:col>
      <xdr:colOff>781050</xdr:colOff>
      <xdr:row>104</xdr:row>
      <xdr:rowOff>152400</xdr:rowOff>
    </xdr:from>
    <xdr:to>
      <xdr:col>7</xdr:col>
      <xdr:colOff>666750</xdr:colOff>
      <xdr:row>108</xdr:row>
      <xdr:rowOff>0</xdr:rowOff>
    </xdr:to>
    <xdr:sp macro="" textlink="">
      <xdr:nvSpPr>
        <xdr:cNvPr id="2" name="TextBox 7">
          <a:extLst>
            <a:ext uri="{FF2B5EF4-FFF2-40B4-BE49-F238E27FC236}">
              <a16:creationId xmlns:a16="http://schemas.microsoft.com/office/drawing/2014/main" id="{B5E9E311-6C0A-446A-87BD-86A1A33C9375}"/>
            </a:ext>
          </a:extLst>
        </xdr:cNvPr>
        <xdr:cNvSpPr txBox="1"/>
      </xdr:nvSpPr>
      <xdr:spPr>
        <a:xfrm>
          <a:off x="7134225" y="19240500"/>
          <a:ext cx="2981325" cy="4826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a:t>
          </a:r>
          <a:r>
            <a:rPr lang="en-GB" sz="1100" baseline="0">
              <a:solidFill>
                <a:schemeClr val="dk1"/>
              </a:solidFill>
              <a:effectLst/>
              <a:latin typeface="+mn-lt"/>
              <a:ea typeface="+mn-ea"/>
              <a:cs typeface="+mn-cs"/>
            </a:rPr>
            <a:t> 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 capture rate is linked to the response given in the Initial questions worksheet.</a:t>
          </a:r>
          <a:endParaRPr lang="en-GB">
            <a:effectLst/>
          </a:endParaRPr>
        </a:p>
      </xdr:txBody>
    </xdr:sp>
    <xdr:clientData/>
  </xdr:twoCellAnchor>
  <xdr:twoCellAnchor>
    <xdr:from>
      <xdr:col>5</xdr:col>
      <xdr:colOff>59692</xdr:colOff>
      <xdr:row>104</xdr:row>
      <xdr:rowOff>97791</xdr:rowOff>
    </xdr:from>
    <xdr:to>
      <xdr:col>5</xdr:col>
      <xdr:colOff>777240</xdr:colOff>
      <xdr:row>107</xdr:row>
      <xdr:rowOff>35696</xdr:rowOff>
    </xdr:to>
    <xdr:cxnSp macro="">
      <xdr:nvCxnSpPr>
        <xdr:cNvPr id="17" name="Straight Arrow Connector 5">
          <a:extLst>
            <a:ext uri="{FF2B5EF4-FFF2-40B4-BE49-F238E27FC236}">
              <a16:creationId xmlns:a16="http://schemas.microsoft.com/office/drawing/2014/main" id="{C0FCC934-63CE-4898-93D3-7237F69E381E}"/>
            </a:ext>
          </a:extLst>
        </xdr:cNvPr>
        <xdr:cNvCxnSpPr>
          <a:stCxn id="2" idx="1"/>
        </xdr:cNvCxnSpPr>
      </xdr:nvCxnSpPr>
      <xdr:spPr>
        <a:xfrm flipH="1" flipV="1">
          <a:off x="6318978" y="18875648"/>
          <a:ext cx="717548" cy="29169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762000</xdr:colOff>
      <xdr:row>108</xdr:row>
      <xdr:rowOff>95250</xdr:rowOff>
    </xdr:from>
    <xdr:to>
      <xdr:col>7</xdr:col>
      <xdr:colOff>645795</xdr:colOff>
      <xdr:row>111</xdr:row>
      <xdr:rowOff>40639</xdr:rowOff>
    </xdr:to>
    <xdr:sp macro="" textlink="">
      <xdr:nvSpPr>
        <xdr:cNvPr id="22" name="TextBox 7">
          <a:extLst>
            <a:ext uri="{FF2B5EF4-FFF2-40B4-BE49-F238E27FC236}">
              <a16:creationId xmlns:a16="http://schemas.microsoft.com/office/drawing/2014/main" id="{001D4D7D-8491-415E-BB56-BF6732B2ABDE}"/>
            </a:ext>
          </a:extLst>
        </xdr:cNvPr>
        <xdr:cNvSpPr txBox="1"/>
      </xdr:nvSpPr>
      <xdr:spPr>
        <a:xfrm>
          <a:off x="6994071" y="19812000"/>
          <a:ext cx="2904581" cy="47606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Applicants must</a:t>
          </a:r>
          <a:r>
            <a:rPr lang="en-GB" sz="1100" baseline="0">
              <a:solidFill>
                <a:schemeClr val="dk1"/>
              </a:solidFill>
              <a:effectLst/>
              <a:latin typeface="+mn-lt"/>
              <a:ea typeface="+mn-ea"/>
              <a:cs typeface="+mn-cs"/>
            </a:rPr>
            <a:t> include the feedstock split of biogenic vs. fossil (LHV energy basis)</a:t>
          </a:r>
          <a:endParaRPr lang="en-GB">
            <a:effectLst/>
          </a:endParaRPr>
        </a:p>
      </xdr:txBody>
    </xdr:sp>
    <xdr:clientData/>
  </xdr:twoCellAnchor>
  <xdr:twoCellAnchor>
    <xdr:from>
      <xdr:col>5</xdr:col>
      <xdr:colOff>40821</xdr:colOff>
      <xdr:row>107</xdr:row>
      <xdr:rowOff>27214</xdr:rowOff>
    </xdr:from>
    <xdr:to>
      <xdr:col>5</xdr:col>
      <xdr:colOff>762000</xdr:colOff>
      <xdr:row>109</xdr:row>
      <xdr:rowOff>154486</xdr:rowOff>
    </xdr:to>
    <xdr:cxnSp macro="">
      <xdr:nvCxnSpPr>
        <xdr:cNvPr id="24" name="Straight Arrow Connector 5">
          <a:extLst>
            <a:ext uri="{FF2B5EF4-FFF2-40B4-BE49-F238E27FC236}">
              <a16:creationId xmlns:a16="http://schemas.microsoft.com/office/drawing/2014/main" id="{F46B7596-E803-4349-825D-C62940C06D8C}"/>
            </a:ext>
          </a:extLst>
        </xdr:cNvPr>
        <xdr:cNvCxnSpPr>
          <a:stCxn id="22" idx="1"/>
        </xdr:cNvCxnSpPr>
      </xdr:nvCxnSpPr>
      <xdr:spPr>
        <a:xfrm flipH="1" flipV="1">
          <a:off x="6517821" y="20873357"/>
          <a:ext cx="721179" cy="48105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xdr:row>
      <xdr:rowOff>0</xdr:rowOff>
    </xdr:from>
    <xdr:to>
      <xdr:col>2</xdr:col>
      <xdr:colOff>2371567</xdr:colOff>
      <xdr:row>4</xdr:row>
      <xdr:rowOff>828130</xdr:rowOff>
    </xdr:to>
    <xdr:sp macro="" textlink="">
      <xdr:nvSpPr>
        <xdr:cNvPr id="25" name="TextBox 17">
          <a:extLst>
            <a:ext uri="{FF2B5EF4-FFF2-40B4-BE49-F238E27FC236}">
              <a16:creationId xmlns:a16="http://schemas.microsoft.com/office/drawing/2014/main" id="{D45954F8-06D4-4035-826F-D13DBD2557D3}"/>
            </a:ext>
          </a:extLst>
        </xdr:cNvPr>
        <xdr:cNvSpPr txBox="1"/>
      </xdr:nvSpPr>
      <xdr:spPr>
        <a:xfrm>
          <a:off x="286871" y="99508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828675</xdr:colOff>
      <xdr:row>9</xdr:row>
      <xdr:rowOff>0</xdr:rowOff>
    </xdr:from>
    <xdr:to>
      <xdr:col>15</xdr:col>
      <xdr:colOff>292911</xdr:colOff>
      <xdr:row>13</xdr:row>
      <xdr:rowOff>149679</xdr:rowOff>
    </xdr:to>
    <xdr:cxnSp macro="">
      <xdr:nvCxnSpPr>
        <xdr:cNvPr id="223" name="Straight Arrow Connector 20">
          <a:extLst>
            <a:ext uri="{FF2B5EF4-FFF2-40B4-BE49-F238E27FC236}">
              <a16:creationId xmlns:a16="http://schemas.microsoft.com/office/drawing/2014/main" id="{8962410A-F292-48C0-9431-61D41A2E359B}"/>
            </a:ext>
          </a:extLst>
        </xdr:cNvPr>
        <xdr:cNvCxnSpPr>
          <a:cxnSpLocks/>
          <a:stCxn id="219" idx="0"/>
        </xdr:cNvCxnSpPr>
      </xdr:nvCxnSpPr>
      <xdr:spPr>
        <a:xfrm flipH="1" flipV="1">
          <a:off x="16335375" y="3000375"/>
          <a:ext cx="712011" cy="91167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539750</xdr:colOff>
      <xdr:row>2</xdr:row>
      <xdr:rowOff>123825</xdr:rowOff>
    </xdr:from>
    <xdr:to>
      <xdr:col>16</xdr:col>
      <xdr:colOff>539750</xdr:colOff>
      <xdr:row>4</xdr:row>
      <xdr:rowOff>276225</xdr:rowOff>
    </xdr:to>
    <xdr:cxnSp macro="">
      <xdr:nvCxnSpPr>
        <xdr:cNvPr id="3" name="Straight Arrow Connector 2">
          <a:extLst>
            <a:ext uri="{FF2B5EF4-FFF2-40B4-BE49-F238E27FC236}">
              <a16:creationId xmlns:a16="http://schemas.microsoft.com/office/drawing/2014/main" id="{F339F06B-7D1F-468F-929E-9E20941DF594}"/>
            </a:ext>
          </a:extLst>
        </xdr:cNvPr>
        <xdr:cNvCxnSpPr>
          <a:cxnSpLocks/>
        </xdr:cNvCxnSpPr>
      </xdr:nvCxnSpPr>
      <xdr:spPr>
        <a:xfrm>
          <a:off x="17789525" y="781050"/>
          <a:ext cx="0"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1.xml><?xml version="1.0" encoding="utf-8"?>
<xdr:wsDr xmlns:xdr="http://schemas.openxmlformats.org/drawingml/2006/spreadsheetDrawing" xmlns:a="http://schemas.openxmlformats.org/drawingml/2006/main">
  <xdr:twoCellAnchor>
    <xdr:from>
      <xdr:col>24</xdr:col>
      <xdr:colOff>169636</xdr:colOff>
      <xdr:row>33</xdr:row>
      <xdr:rowOff>102507</xdr:rowOff>
    </xdr:from>
    <xdr:to>
      <xdr:col>34</xdr:col>
      <xdr:colOff>40822</xdr:colOff>
      <xdr:row>36</xdr:row>
      <xdr:rowOff>43996</xdr:rowOff>
    </xdr:to>
    <xdr:sp macro="" textlink="">
      <xdr:nvSpPr>
        <xdr:cNvPr id="2" name="Rectangle 1">
          <a:extLst>
            <a:ext uri="{FF2B5EF4-FFF2-40B4-BE49-F238E27FC236}">
              <a16:creationId xmlns:a16="http://schemas.microsoft.com/office/drawing/2014/main" id="{1FB8042C-F9B4-4295-A1F0-0B1F4679E6AA}"/>
            </a:ext>
          </a:extLst>
        </xdr:cNvPr>
        <xdr:cNvSpPr/>
      </xdr:nvSpPr>
      <xdr:spPr>
        <a:xfrm>
          <a:off x="23985946" y="7356747"/>
          <a:ext cx="4820376" cy="49012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If direct</a:t>
          </a:r>
          <a:r>
            <a:rPr lang="en-GB" sz="1100" baseline="0"/>
            <a:t> Land Use Change</a:t>
          </a:r>
          <a:r>
            <a:rPr lang="en-GB" sz="1100"/>
            <a:t> emissions are unknown, see the Guidance tab for instructions on how to access the RTFO Carbon Calculator to calculate these</a:t>
          </a:r>
        </a:p>
      </xdr:txBody>
    </xdr:sp>
    <xdr:clientData/>
  </xdr:twoCellAnchor>
  <xdr:twoCellAnchor>
    <xdr:from>
      <xdr:col>18</xdr:col>
      <xdr:colOff>714868</xdr:colOff>
      <xdr:row>22</xdr:row>
      <xdr:rowOff>168963</xdr:rowOff>
    </xdr:from>
    <xdr:to>
      <xdr:col>19</xdr:col>
      <xdr:colOff>531586</xdr:colOff>
      <xdr:row>25</xdr:row>
      <xdr:rowOff>130885</xdr:rowOff>
    </xdr:to>
    <xdr:cxnSp macro="">
      <xdr:nvCxnSpPr>
        <xdr:cNvPr id="48" name="Straight Arrow Connector 5">
          <a:extLst>
            <a:ext uri="{FF2B5EF4-FFF2-40B4-BE49-F238E27FC236}">
              <a16:creationId xmlns:a16="http://schemas.microsoft.com/office/drawing/2014/main" id="{C0C39131-6EC9-4730-8EBA-41EB4670DE8F}"/>
            </a:ext>
          </a:extLst>
        </xdr:cNvPr>
        <xdr:cNvCxnSpPr/>
      </xdr:nvCxnSpPr>
      <xdr:spPr>
        <a:xfrm flipH="1">
          <a:off x="18660520" y="5400811"/>
          <a:ext cx="1279979" cy="50029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551602</xdr:colOff>
      <xdr:row>24</xdr:row>
      <xdr:rowOff>73885</xdr:rowOff>
    </xdr:from>
    <xdr:to>
      <xdr:col>21</xdr:col>
      <xdr:colOff>552450</xdr:colOff>
      <xdr:row>25</xdr:row>
      <xdr:rowOff>142875</xdr:rowOff>
    </xdr:to>
    <xdr:cxnSp macro="">
      <xdr:nvCxnSpPr>
        <xdr:cNvPr id="4" name="Straight Arrow Connector 5">
          <a:extLst>
            <a:ext uri="{FF2B5EF4-FFF2-40B4-BE49-F238E27FC236}">
              <a16:creationId xmlns:a16="http://schemas.microsoft.com/office/drawing/2014/main" id="{AC219C1D-B68B-44D5-8931-15A20B375FC1}"/>
            </a:ext>
          </a:extLst>
        </xdr:cNvPr>
        <xdr:cNvCxnSpPr>
          <a:stCxn id="3" idx="2"/>
        </xdr:cNvCxnSpPr>
      </xdr:nvCxnSpPr>
      <xdr:spPr>
        <a:xfrm>
          <a:off x="23230627" y="5931760"/>
          <a:ext cx="1515323" cy="25949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1140516</xdr:colOff>
      <xdr:row>20</xdr:row>
      <xdr:rowOff>168552</xdr:rowOff>
    </xdr:from>
    <xdr:to>
      <xdr:col>21</xdr:col>
      <xdr:colOff>1210462</xdr:colOff>
      <xdr:row>24</xdr:row>
      <xdr:rowOff>73885</xdr:rowOff>
    </xdr:to>
    <xdr:sp macro="" textlink="">
      <xdr:nvSpPr>
        <xdr:cNvPr id="3" name="TextBox 27">
          <a:extLst>
            <a:ext uri="{FF2B5EF4-FFF2-40B4-BE49-F238E27FC236}">
              <a16:creationId xmlns:a16="http://schemas.microsoft.com/office/drawing/2014/main" id="{CA9C5F5E-4CFF-4900-BA8B-BE9F3B1E10FD}"/>
            </a:ext>
          </a:extLst>
        </xdr:cNvPr>
        <xdr:cNvSpPr txBox="1"/>
      </xdr:nvSpPr>
      <xdr:spPr>
        <a:xfrm>
          <a:off x="21057291" y="5264427"/>
          <a:ext cx="4346671" cy="66733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3" name="TextBox 17">
          <a:extLst>
            <a:ext uri="{FF2B5EF4-FFF2-40B4-BE49-F238E27FC236}">
              <a16:creationId xmlns:a16="http://schemas.microsoft.com/office/drawing/2014/main" id="{2682611B-36DA-4B4E-B355-9D46DDB23055}"/>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13</xdr:col>
      <xdr:colOff>476250</xdr:colOff>
      <xdr:row>1</xdr:row>
      <xdr:rowOff>116366</xdr:rowOff>
    </xdr:from>
    <xdr:to>
      <xdr:col>14</xdr:col>
      <xdr:colOff>606425</xdr:colOff>
      <xdr:row>4</xdr:row>
      <xdr:rowOff>539750</xdr:rowOff>
    </xdr:to>
    <xdr:cxnSp macro="">
      <xdr:nvCxnSpPr>
        <xdr:cNvPr id="11" name="Straight Arrow Connector 20">
          <a:extLst>
            <a:ext uri="{FF2B5EF4-FFF2-40B4-BE49-F238E27FC236}">
              <a16:creationId xmlns:a16="http://schemas.microsoft.com/office/drawing/2014/main" id="{D3DBAECC-D968-4460-A8F7-8DA62FBEE338}"/>
            </a:ext>
          </a:extLst>
        </xdr:cNvPr>
        <xdr:cNvCxnSpPr>
          <a:cxnSpLocks/>
        </xdr:cNvCxnSpPr>
      </xdr:nvCxnSpPr>
      <xdr:spPr>
        <a:xfrm flipH="1">
          <a:off x="15716250" y="516416"/>
          <a:ext cx="1130300" cy="107425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552450</xdr:colOff>
      <xdr:row>0</xdr:row>
      <xdr:rowOff>152400</xdr:rowOff>
    </xdr:from>
    <xdr:to>
      <xdr:col>19</xdr:col>
      <xdr:colOff>457200</xdr:colOff>
      <xdr:row>2</xdr:row>
      <xdr:rowOff>103816</xdr:rowOff>
    </xdr:to>
    <xdr:sp macro="" textlink="">
      <xdr:nvSpPr>
        <xdr:cNvPr id="14" name="TextBox 13">
          <a:extLst>
            <a:ext uri="{FF2B5EF4-FFF2-40B4-BE49-F238E27FC236}">
              <a16:creationId xmlns:a16="http://schemas.microsoft.com/office/drawing/2014/main" id="{7A55D495-6E0F-4AE5-96D9-7057D3A05B2A}"/>
            </a:ext>
          </a:extLst>
        </xdr:cNvPr>
        <xdr:cNvSpPr txBox="1"/>
      </xdr:nvSpPr>
      <xdr:spPr>
        <a:xfrm>
          <a:off x="16935450" y="152400"/>
          <a:ext cx="5838825" cy="60864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twoCellAnchor>
    <xdr:from>
      <xdr:col>16</xdr:col>
      <xdr:colOff>539750</xdr:colOff>
      <xdr:row>2</xdr:row>
      <xdr:rowOff>114300</xdr:rowOff>
    </xdr:from>
    <xdr:to>
      <xdr:col>16</xdr:col>
      <xdr:colOff>550609</xdr:colOff>
      <xdr:row>4</xdr:row>
      <xdr:rowOff>266700</xdr:rowOff>
    </xdr:to>
    <xdr:cxnSp macro="">
      <xdr:nvCxnSpPr>
        <xdr:cNvPr id="16" name="Straight Arrow Connector 15">
          <a:extLst>
            <a:ext uri="{FF2B5EF4-FFF2-40B4-BE49-F238E27FC236}">
              <a16:creationId xmlns:a16="http://schemas.microsoft.com/office/drawing/2014/main" id="{C107FE2A-DF6D-47A8-A750-5EFE590CFC4E}"/>
            </a:ext>
          </a:extLst>
        </xdr:cNvPr>
        <xdr:cNvCxnSpPr>
          <a:cxnSpLocks/>
        </xdr:cNvCxnSpPr>
      </xdr:nvCxnSpPr>
      <xdr:spPr>
        <a:xfrm>
          <a:off x="18027650" y="77152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424995</xdr:colOff>
      <xdr:row>17</xdr:row>
      <xdr:rowOff>85725</xdr:rowOff>
    </xdr:from>
    <xdr:to>
      <xdr:col>21</xdr:col>
      <xdr:colOff>333374</xdr:colOff>
      <xdr:row>20</xdr:row>
      <xdr:rowOff>51706</xdr:rowOff>
    </xdr:to>
    <xdr:sp macro="" textlink="">
      <xdr:nvSpPr>
        <xdr:cNvPr id="18" name="TextBox 17">
          <a:extLst>
            <a:ext uri="{FF2B5EF4-FFF2-40B4-BE49-F238E27FC236}">
              <a16:creationId xmlns:a16="http://schemas.microsoft.com/office/drawing/2014/main" id="{43BFE58F-606F-44D8-8140-4A3D60FDB5AF}"/>
            </a:ext>
          </a:extLst>
        </xdr:cNvPr>
        <xdr:cNvSpPr txBox="1"/>
      </xdr:nvSpPr>
      <xdr:spPr>
        <a:xfrm>
          <a:off x="20341770" y="4610100"/>
          <a:ext cx="4185104" cy="53748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step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17</xdr:col>
      <xdr:colOff>1123950</xdr:colOff>
      <xdr:row>18</xdr:row>
      <xdr:rowOff>159203</xdr:rowOff>
    </xdr:from>
    <xdr:to>
      <xdr:col>18</xdr:col>
      <xdr:colOff>421820</xdr:colOff>
      <xdr:row>19</xdr:row>
      <xdr:rowOff>68941</xdr:rowOff>
    </xdr:to>
    <xdr:cxnSp macro="">
      <xdr:nvCxnSpPr>
        <xdr:cNvPr id="19" name="Straight Arrow Connector 5">
          <a:extLst>
            <a:ext uri="{FF2B5EF4-FFF2-40B4-BE49-F238E27FC236}">
              <a16:creationId xmlns:a16="http://schemas.microsoft.com/office/drawing/2014/main" id="{AF385C75-0E54-4257-8B9B-FBDAE6DCFCBF}"/>
            </a:ext>
          </a:extLst>
        </xdr:cNvPr>
        <xdr:cNvCxnSpPr>
          <a:stCxn id="18" idx="1"/>
        </xdr:cNvCxnSpPr>
      </xdr:nvCxnSpPr>
      <xdr:spPr>
        <a:xfrm flipH="1">
          <a:off x="19869150" y="4874078"/>
          <a:ext cx="469445" cy="10023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2.xml><?xml version="1.0" encoding="utf-8"?>
<xdr:wsDr xmlns:xdr="http://schemas.openxmlformats.org/drawingml/2006/spreadsheetDrawing" xmlns:a="http://schemas.openxmlformats.org/drawingml/2006/main">
  <xdr:twoCellAnchor>
    <xdr:from>
      <xdr:col>18</xdr:col>
      <xdr:colOff>998809</xdr:colOff>
      <xdr:row>25</xdr:row>
      <xdr:rowOff>17318</xdr:rowOff>
    </xdr:from>
    <xdr:to>
      <xdr:col>19</xdr:col>
      <xdr:colOff>398319</xdr:colOff>
      <xdr:row>25</xdr:row>
      <xdr:rowOff>153390</xdr:rowOff>
    </xdr:to>
    <xdr:cxnSp macro="">
      <xdr:nvCxnSpPr>
        <xdr:cNvPr id="24" name="Straight Arrow Connector 5">
          <a:extLst>
            <a:ext uri="{FF2B5EF4-FFF2-40B4-BE49-F238E27FC236}">
              <a16:creationId xmlns:a16="http://schemas.microsoft.com/office/drawing/2014/main" id="{C85C3940-BD18-4144-918D-750CD04A6643}"/>
            </a:ext>
          </a:extLst>
        </xdr:cNvPr>
        <xdr:cNvCxnSpPr/>
      </xdr:nvCxnSpPr>
      <xdr:spPr>
        <a:xfrm flipH="1">
          <a:off x="19685127" y="6026727"/>
          <a:ext cx="854237" cy="13607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718156</xdr:colOff>
      <xdr:row>24</xdr:row>
      <xdr:rowOff>169788</xdr:rowOff>
    </xdr:from>
    <xdr:to>
      <xdr:col>21</xdr:col>
      <xdr:colOff>297584</xdr:colOff>
      <xdr:row>25</xdr:row>
      <xdr:rowOff>141721</xdr:rowOff>
    </xdr:to>
    <xdr:cxnSp macro="">
      <xdr:nvCxnSpPr>
        <xdr:cNvPr id="23" name="Straight Arrow Connector 5">
          <a:extLst>
            <a:ext uri="{FF2B5EF4-FFF2-40B4-BE49-F238E27FC236}">
              <a16:creationId xmlns:a16="http://schemas.microsoft.com/office/drawing/2014/main" id="{AC7CEE34-08D6-462E-935A-DDF3EA9969C1}"/>
            </a:ext>
          </a:extLst>
        </xdr:cNvPr>
        <xdr:cNvCxnSpPr>
          <a:cxnSpLocks/>
          <a:stCxn id="7" idx="2"/>
        </xdr:cNvCxnSpPr>
      </xdr:nvCxnSpPr>
      <xdr:spPr>
        <a:xfrm>
          <a:off x="22313929" y="6006015"/>
          <a:ext cx="705110" cy="1451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402193</xdr:colOff>
      <xdr:row>17</xdr:row>
      <xdr:rowOff>134836</xdr:rowOff>
    </xdr:from>
    <xdr:to>
      <xdr:col>22</xdr:col>
      <xdr:colOff>170872</xdr:colOff>
      <xdr:row>20</xdr:row>
      <xdr:rowOff>117847</xdr:rowOff>
    </xdr:to>
    <xdr:sp macro="" textlink="">
      <xdr:nvSpPr>
        <xdr:cNvPr id="19" name="TextBox 10">
          <a:extLst>
            <a:ext uri="{FF2B5EF4-FFF2-40B4-BE49-F238E27FC236}">
              <a16:creationId xmlns:a16="http://schemas.microsoft.com/office/drawing/2014/main" id="{85232AE6-D726-4C78-AC64-D481F056CD0A}"/>
            </a:ext>
          </a:extLst>
        </xdr:cNvPr>
        <xdr:cNvSpPr txBox="1"/>
      </xdr:nvSpPr>
      <xdr:spPr>
        <a:xfrm>
          <a:off x="20508602" y="4325836"/>
          <a:ext cx="3959679" cy="5025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step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51954</xdr:colOff>
      <xdr:row>19</xdr:row>
      <xdr:rowOff>41338</xdr:rowOff>
    </xdr:from>
    <xdr:to>
      <xdr:col>19</xdr:col>
      <xdr:colOff>402193</xdr:colOff>
      <xdr:row>19</xdr:row>
      <xdr:rowOff>69272</xdr:rowOff>
    </xdr:to>
    <xdr:cxnSp macro="">
      <xdr:nvCxnSpPr>
        <xdr:cNvPr id="15" name="Straight Arrow Connector 5">
          <a:extLst>
            <a:ext uri="{FF2B5EF4-FFF2-40B4-BE49-F238E27FC236}">
              <a16:creationId xmlns:a16="http://schemas.microsoft.com/office/drawing/2014/main" id="{43C82B8A-7967-4AD7-AAD7-00E2A3E6F5CB}"/>
            </a:ext>
          </a:extLst>
        </xdr:cNvPr>
        <xdr:cNvCxnSpPr>
          <a:stCxn id="19" idx="1"/>
        </xdr:cNvCxnSpPr>
      </xdr:nvCxnSpPr>
      <xdr:spPr>
        <a:xfrm flipH="1">
          <a:off x="18703636" y="4578702"/>
          <a:ext cx="1804966" cy="2793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103909</xdr:colOff>
      <xdr:row>21</xdr:row>
      <xdr:rowOff>51955</xdr:rowOff>
    </xdr:from>
    <xdr:to>
      <xdr:col>22</xdr:col>
      <xdr:colOff>44508</xdr:colOff>
      <xdr:row>24</xdr:row>
      <xdr:rowOff>169788</xdr:rowOff>
    </xdr:to>
    <xdr:sp macro="" textlink="">
      <xdr:nvSpPr>
        <xdr:cNvPr id="7" name="TextBox 27">
          <a:extLst>
            <a:ext uri="{FF2B5EF4-FFF2-40B4-BE49-F238E27FC236}">
              <a16:creationId xmlns:a16="http://schemas.microsoft.com/office/drawing/2014/main" id="{6379BAB0-222B-4A6B-B8E7-00E0F1E77A21}"/>
            </a:ext>
          </a:extLst>
        </xdr:cNvPr>
        <xdr:cNvSpPr txBox="1"/>
      </xdr:nvSpPr>
      <xdr:spPr>
        <a:xfrm>
          <a:off x="20244954" y="5368637"/>
          <a:ext cx="4131599"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87A5B8D5-4025-45AA-908D-4986A3258B4F}"/>
            </a:ext>
          </a:extLst>
        </xdr:cNvPr>
        <xdr:cNvSpPr txBox="1"/>
      </xdr:nvSpPr>
      <xdr:spPr>
        <a:xfrm>
          <a:off x="286871" y="1156447"/>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676275</xdr:colOff>
      <xdr:row>20</xdr:row>
      <xdr:rowOff>28575</xdr:rowOff>
    </xdr:from>
    <xdr:to>
      <xdr:col>15</xdr:col>
      <xdr:colOff>328652</xdr:colOff>
      <xdr:row>24</xdr:row>
      <xdr:rowOff>96019</xdr:rowOff>
    </xdr:to>
    <xdr:cxnSp macro="">
      <xdr:nvCxnSpPr>
        <xdr:cNvPr id="3" name="Straight Arrow Connector 5">
          <a:extLst>
            <a:ext uri="{FF2B5EF4-FFF2-40B4-BE49-F238E27FC236}">
              <a16:creationId xmlns:a16="http://schemas.microsoft.com/office/drawing/2014/main" id="{9294326F-9F3C-4F8D-816D-619F5EDA6DFF}"/>
            </a:ext>
          </a:extLst>
        </xdr:cNvPr>
        <xdr:cNvCxnSpPr>
          <a:stCxn id="10" idx="0"/>
        </xdr:cNvCxnSpPr>
      </xdr:nvCxnSpPr>
      <xdr:spPr>
        <a:xfrm flipH="1" flipV="1">
          <a:off x="16913225" y="4987925"/>
          <a:ext cx="858877" cy="79451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952500</xdr:colOff>
      <xdr:row>7</xdr:row>
      <xdr:rowOff>133350</xdr:rowOff>
    </xdr:from>
    <xdr:to>
      <xdr:col>14</xdr:col>
      <xdr:colOff>342900</xdr:colOff>
      <xdr:row>18</xdr:row>
      <xdr:rowOff>161925</xdr:rowOff>
    </xdr:to>
    <xdr:cxnSp macro="">
      <xdr:nvCxnSpPr>
        <xdr:cNvPr id="6" name="Straight Arrow Connector 2">
          <a:extLst>
            <a:ext uri="{FF2B5EF4-FFF2-40B4-BE49-F238E27FC236}">
              <a16:creationId xmlns:a16="http://schemas.microsoft.com/office/drawing/2014/main" id="{55C189B2-88A1-40EA-BE14-28F6A72BCC49}"/>
            </a:ext>
          </a:extLst>
        </xdr:cNvPr>
        <xdr:cNvCxnSpPr/>
      </xdr:nvCxnSpPr>
      <xdr:spPr>
        <a:xfrm>
          <a:off x="16192500" y="2743200"/>
          <a:ext cx="390525" cy="201612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982930</xdr:colOff>
      <xdr:row>19</xdr:row>
      <xdr:rowOff>85035</xdr:rowOff>
    </xdr:from>
    <xdr:to>
      <xdr:col>14</xdr:col>
      <xdr:colOff>180975</xdr:colOff>
      <xdr:row>19</xdr:row>
      <xdr:rowOff>85035</xdr:rowOff>
    </xdr:to>
    <xdr:cxnSp macro="">
      <xdr:nvCxnSpPr>
        <xdr:cNvPr id="8" name="Straight Arrow Connector 3">
          <a:extLst>
            <a:ext uri="{FF2B5EF4-FFF2-40B4-BE49-F238E27FC236}">
              <a16:creationId xmlns:a16="http://schemas.microsoft.com/office/drawing/2014/main" id="{930A69D4-46D9-49C5-BEE1-9D6CC9B8FBF2}"/>
            </a:ext>
          </a:extLst>
        </xdr:cNvPr>
        <xdr:cNvCxnSpPr/>
      </xdr:nvCxnSpPr>
      <xdr:spPr>
        <a:xfrm>
          <a:off x="16219755" y="4869760"/>
          <a:ext cx="19817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314404</xdr:colOff>
      <xdr:row>24</xdr:row>
      <xdr:rowOff>96019</xdr:rowOff>
    </xdr:from>
    <xdr:to>
      <xdr:col>16</xdr:col>
      <xdr:colOff>800100</xdr:colOff>
      <xdr:row>28</xdr:row>
      <xdr:rowOff>27817</xdr:rowOff>
    </xdr:to>
    <xdr:sp macro="" textlink="">
      <xdr:nvSpPr>
        <xdr:cNvPr id="10" name="TextBox 9">
          <a:extLst>
            <a:ext uri="{FF2B5EF4-FFF2-40B4-BE49-F238E27FC236}">
              <a16:creationId xmlns:a16="http://schemas.microsoft.com/office/drawing/2014/main" id="{444CF667-1C85-436B-A267-20195D9CEC37}"/>
            </a:ext>
          </a:extLst>
        </xdr:cNvPr>
        <xdr:cNvSpPr txBox="1"/>
      </xdr:nvSpPr>
      <xdr:spPr>
        <a:xfrm>
          <a:off x="16551354" y="5782444"/>
          <a:ext cx="2431971" cy="6588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13</xdr:col>
      <xdr:colOff>476250</xdr:colOff>
      <xdr:row>1</xdr:row>
      <xdr:rowOff>116366</xdr:rowOff>
    </xdr:from>
    <xdr:to>
      <xdr:col>14</xdr:col>
      <xdr:colOff>606425</xdr:colOff>
      <xdr:row>4</xdr:row>
      <xdr:rowOff>539750</xdr:rowOff>
    </xdr:to>
    <xdr:cxnSp macro="">
      <xdr:nvCxnSpPr>
        <xdr:cNvPr id="11" name="Straight Arrow Connector 20">
          <a:extLst>
            <a:ext uri="{FF2B5EF4-FFF2-40B4-BE49-F238E27FC236}">
              <a16:creationId xmlns:a16="http://schemas.microsoft.com/office/drawing/2014/main" id="{0E5F70B1-7A89-49DF-986C-C76BA5FB3631}"/>
            </a:ext>
          </a:extLst>
        </xdr:cNvPr>
        <xdr:cNvCxnSpPr>
          <a:cxnSpLocks/>
        </xdr:cNvCxnSpPr>
      </xdr:nvCxnSpPr>
      <xdr:spPr>
        <a:xfrm flipH="1">
          <a:off x="15716250" y="516416"/>
          <a:ext cx="1130300" cy="107425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615950</xdr:colOff>
      <xdr:row>0</xdr:row>
      <xdr:rowOff>177800</xdr:rowOff>
    </xdr:from>
    <xdr:to>
      <xdr:col>19</xdr:col>
      <xdr:colOff>523875</xdr:colOff>
      <xdr:row>2</xdr:row>
      <xdr:rowOff>135566</xdr:rowOff>
    </xdr:to>
    <xdr:sp macro="" textlink="">
      <xdr:nvSpPr>
        <xdr:cNvPr id="13" name="TextBox 12">
          <a:extLst>
            <a:ext uri="{FF2B5EF4-FFF2-40B4-BE49-F238E27FC236}">
              <a16:creationId xmlns:a16="http://schemas.microsoft.com/office/drawing/2014/main" id="{716AE593-4901-406B-A1E9-2B35F82DD6CC}"/>
            </a:ext>
          </a:extLst>
        </xdr:cNvPr>
        <xdr:cNvSpPr txBox="1"/>
      </xdr:nvSpPr>
      <xdr:spPr>
        <a:xfrm>
          <a:off x="16856075" y="177800"/>
          <a:ext cx="5842000" cy="6149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twoCellAnchor>
    <xdr:from>
      <xdr:col>16</xdr:col>
      <xdr:colOff>539750</xdr:colOff>
      <xdr:row>2</xdr:row>
      <xdr:rowOff>133350</xdr:rowOff>
    </xdr:from>
    <xdr:to>
      <xdr:col>16</xdr:col>
      <xdr:colOff>550609</xdr:colOff>
      <xdr:row>4</xdr:row>
      <xdr:rowOff>285750</xdr:rowOff>
    </xdr:to>
    <xdr:cxnSp macro="">
      <xdr:nvCxnSpPr>
        <xdr:cNvPr id="2" name="Straight Arrow Connector 1">
          <a:extLst>
            <a:ext uri="{FF2B5EF4-FFF2-40B4-BE49-F238E27FC236}">
              <a16:creationId xmlns:a16="http://schemas.microsoft.com/office/drawing/2014/main" id="{77EA9D4E-4567-4258-8088-83C52C6958D4}"/>
            </a:ext>
          </a:extLst>
        </xdr:cNvPr>
        <xdr:cNvCxnSpPr>
          <a:cxnSpLocks/>
        </xdr:cNvCxnSpPr>
      </xdr:nvCxnSpPr>
      <xdr:spPr>
        <a:xfrm>
          <a:off x="17894300" y="79057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3.xml><?xml version="1.0" encoding="utf-8"?>
<xdr:wsDr xmlns:xdr="http://schemas.openxmlformats.org/drawingml/2006/spreadsheetDrawing" xmlns:a="http://schemas.openxmlformats.org/drawingml/2006/main">
  <xdr:twoCellAnchor>
    <xdr:from>
      <xdr:col>14</xdr:col>
      <xdr:colOff>676275</xdr:colOff>
      <xdr:row>20</xdr:row>
      <xdr:rowOff>28575</xdr:rowOff>
    </xdr:from>
    <xdr:to>
      <xdr:col>15</xdr:col>
      <xdr:colOff>328652</xdr:colOff>
      <xdr:row>24</xdr:row>
      <xdr:rowOff>96019</xdr:rowOff>
    </xdr:to>
    <xdr:cxnSp macro="">
      <xdr:nvCxnSpPr>
        <xdr:cNvPr id="2" name="Straight Arrow Connector 5">
          <a:extLst>
            <a:ext uri="{FF2B5EF4-FFF2-40B4-BE49-F238E27FC236}">
              <a16:creationId xmlns:a16="http://schemas.microsoft.com/office/drawing/2014/main" id="{8DF24BB0-7F3C-4C61-9FF4-3D961F7881AF}"/>
            </a:ext>
          </a:extLst>
        </xdr:cNvPr>
        <xdr:cNvCxnSpPr>
          <a:stCxn id="20" idx="0"/>
        </xdr:cNvCxnSpPr>
      </xdr:nvCxnSpPr>
      <xdr:spPr>
        <a:xfrm flipH="1" flipV="1">
          <a:off x="16916400" y="4991100"/>
          <a:ext cx="852527" cy="79134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952500</xdr:colOff>
      <xdr:row>7</xdr:row>
      <xdr:rowOff>133350</xdr:rowOff>
    </xdr:from>
    <xdr:to>
      <xdr:col>14</xdr:col>
      <xdr:colOff>342900</xdr:colOff>
      <xdr:row>18</xdr:row>
      <xdr:rowOff>161925</xdr:rowOff>
    </xdr:to>
    <xdr:cxnSp macro="">
      <xdr:nvCxnSpPr>
        <xdr:cNvPr id="17" name="Straight Arrow Connector 2">
          <a:extLst>
            <a:ext uri="{FF2B5EF4-FFF2-40B4-BE49-F238E27FC236}">
              <a16:creationId xmlns:a16="http://schemas.microsoft.com/office/drawing/2014/main" id="{AC0BA73A-366D-492E-AE48-04FBAE0F637A}"/>
            </a:ext>
          </a:extLst>
        </xdr:cNvPr>
        <xdr:cNvCxnSpPr/>
      </xdr:nvCxnSpPr>
      <xdr:spPr>
        <a:xfrm>
          <a:off x="16192500" y="2743200"/>
          <a:ext cx="390525" cy="201930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982930</xdr:colOff>
      <xdr:row>19</xdr:row>
      <xdr:rowOff>85035</xdr:rowOff>
    </xdr:from>
    <xdr:to>
      <xdr:col>14</xdr:col>
      <xdr:colOff>180975</xdr:colOff>
      <xdr:row>19</xdr:row>
      <xdr:rowOff>85035</xdr:rowOff>
    </xdr:to>
    <xdr:cxnSp macro="">
      <xdr:nvCxnSpPr>
        <xdr:cNvPr id="19" name="Straight Arrow Connector 3">
          <a:extLst>
            <a:ext uri="{FF2B5EF4-FFF2-40B4-BE49-F238E27FC236}">
              <a16:creationId xmlns:a16="http://schemas.microsoft.com/office/drawing/2014/main" id="{06DA3539-34DE-4532-BBD5-183890302429}"/>
            </a:ext>
          </a:extLst>
        </xdr:cNvPr>
        <xdr:cNvCxnSpPr/>
      </xdr:nvCxnSpPr>
      <xdr:spPr>
        <a:xfrm>
          <a:off x="16222930" y="4866585"/>
          <a:ext cx="19817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1038879</xdr:colOff>
      <xdr:row>25</xdr:row>
      <xdr:rowOff>27608</xdr:rowOff>
    </xdr:from>
    <xdr:to>
      <xdr:col>19</xdr:col>
      <xdr:colOff>427935</xdr:colOff>
      <xdr:row>25</xdr:row>
      <xdr:rowOff>163680</xdr:rowOff>
    </xdr:to>
    <xdr:cxnSp macro="">
      <xdr:nvCxnSpPr>
        <xdr:cNvPr id="7" name="Straight Arrow Connector 5">
          <a:extLst>
            <a:ext uri="{FF2B5EF4-FFF2-40B4-BE49-F238E27FC236}">
              <a16:creationId xmlns:a16="http://schemas.microsoft.com/office/drawing/2014/main" id="{B5CACE1D-623C-4EA0-ADFE-4D7D340B07A2}"/>
            </a:ext>
          </a:extLst>
        </xdr:cNvPr>
        <xdr:cNvCxnSpPr/>
      </xdr:nvCxnSpPr>
      <xdr:spPr>
        <a:xfrm flipH="1">
          <a:off x="18225292" y="6129130"/>
          <a:ext cx="852317" cy="13607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585559</xdr:colOff>
      <xdr:row>25</xdr:row>
      <xdr:rowOff>29986</xdr:rowOff>
    </xdr:from>
    <xdr:to>
      <xdr:col>21</xdr:col>
      <xdr:colOff>941871</xdr:colOff>
      <xdr:row>25</xdr:row>
      <xdr:rowOff>151848</xdr:rowOff>
    </xdr:to>
    <xdr:cxnSp macro="">
      <xdr:nvCxnSpPr>
        <xdr:cNvPr id="10" name="Straight Arrow Connector 5">
          <a:extLst>
            <a:ext uri="{FF2B5EF4-FFF2-40B4-BE49-F238E27FC236}">
              <a16:creationId xmlns:a16="http://schemas.microsoft.com/office/drawing/2014/main" id="{E6E4EA60-F6B5-46CC-91C8-E22083FC49D7}"/>
            </a:ext>
          </a:extLst>
        </xdr:cNvPr>
        <xdr:cNvCxnSpPr>
          <a:cxnSpLocks/>
          <a:stCxn id="6" idx="2"/>
        </xdr:cNvCxnSpPr>
      </xdr:nvCxnSpPr>
      <xdr:spPr>
        <a:xfrm>
          <a:off x="20698494" y="6131508"/>
          <a:ext cx="1488268" cy="12186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314404</xdr:colOff>
      <xdr:row>24</xdr:row>
      <xdr:rowOff>96019</xdr:rowOff>
    </xdr:from>
    <xdr:to>
      <xdr:col>16</xdr:col>
      <xdr:colOff>800100</xdr:colOff>
      <xdr:row>28</xdr:row>
      <xdr:rowOff>27817</xdr:rowOff>
    </xdr:to>
    <xdr:sp macro="" textlink="">
      <xdr:nvSpPr>
        <xdr:cNvPr id="20" name="TextBox 9">
          <a:extLst>
            <a:ext uri="{FF2B5EF4-FFF2-40B4-BE49-F238E27FC236}">
              <a16:creationId xmlns:a16="http://schemas.microsoft.com/office/drawing/2014/main" id="{7FE063C9-8D37-4046-9B16-128BC2DB4055}"/>
            </a:ext>
          </a:extLst>
        </xdr:cNvPr>
        <xdr:cNvSpPr txBox="1"/>
      </xdr:nvSpPr>
      <xdr:spPr>
        <a:xfrm>
          <a:off x="16554529" y="5782444"/>
          <a:ext cx="2428796" cy="65569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step efficiency is calculated based on the main feedstock input and main output.</a:t>
          </a:r>
          <a:endParaRPr lang="en-GB" sz="1100"/>
        </a:p>
      </xdr:txBody>
    </xdr:sp>
    <xdr:clientData/>
  </xdr:twoCellAnchor>
  <xdr:twoCellAnchor>
    <xdr:from>
      <xdr:col>18</xdr:col>
      <xdr:colOff>487529</xdr:colOff>
      <xdr:row>18</xdr:row>
      <xdr:rowOff>95608</xdr:rowOff>
    </xdr:from>
    <xdr:to>
      <xdr:col>21</xdr:col>
      <xdr:colOff>379205</xdr:colOff>
      <xdr:row>21</xdr:row>
      <xdr:rowOff>59794</xdr:rowOff>
    </xdr:to>
    <xdr:sp macro="" textlink="">
      <xdr:nvSpPr>
        <xdr:cNvPr id="16" name="TextBox 10">
          <a:extLst>
            <a:ext uri="{FF2B5EF4-FFF2-40B4-BE49-F238E27FC236}">
              <a16:creationId xmlns:a16="http://schemas.microsoft.com/office/drawing/2014/main" id="{2DCC65AB-CBF3-48C0-9CAF-2F4734E8832F}"/>
            </a:ext>
          </a:extLst>
        </xdr:cNvPr>
        <xdr:cNvSpPr txBox="1"/>
      </xdr:nvSpPr>
      <xdr:spPr>
        <a:xfrm>
          <a:off x="17673942" y="4747673"/>
          <a:ext cx="3950154" cy="5025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step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14</xdr:col>
      <xdr:colOff>606425</xdr:colOff>
      <xdr:row>0</xdr:row>
      <xdr:rowOff>210508</xdr:rowOff>
    </xdr:from>
    <xdr:to>
      <xdr:col>19</xdr:col>
      <xdr:colOff>514350</xdr:colOff>
      <xdr:row>2</xdr:row>
      <xdr:rowOff>165099</xdr:rowOff>
    </xdr:to>
    <xdr:sp macro="" textlink="">
      <xdr:nvSpPr>
        <xdr:cNvPr id="14" name="TextBox 13">
          <a:extLst>
            <a:ext uri="{FF2B5EF4-FFF2-40B4-BE49-F238E27FC236}">
              <a16:creationId xmlns:a16="http://schemas.microsoft.com/office/drawing/2014/main" id="{F8C2F6B4-6235-4E00-BD0B-161F1DF8E0FC}"/>
            </a:ext>
          </a:extLst>
        </xdr:cNvPr>
        <xdr:cNvSpPr txBox="1"/>
      </xdr:nvSpPr>
      <xdr:spPr>
        <a:xfrm>
          <a:off x="16846550" y="210508"/>
          <a:ext cx="5842000" cy="61181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twoCellAnchor>
    <xdr:from>
      <xdr:col>18</xdr:col>
      <xdr:colOff>6803</xdr:colOff>
      <xdr:row>19</xdr:row>
      <xdr:rowOff>80242</xdr:rowOff>
    </xdr:from>
    <xdr:to>
      <xdr:col>18</xdr:col>
      <xdr:colOff>487529</xdr:colOff>
      <xdr:row>19</xdr:row>
      <xdr:rowOff>168304</xdr:rowOff>
    </xdr:to>
    <xdr:cxnSp macro="">
      <xdr:nvCxnSpPr>
        <xdr:cNvPr id="15" name="Straight Arrow Connector 5">
          <a:extLst>
            <a:ext uri="{FF2B5EF4-FFF2-40B4-BE49-F238E27FC236}">
              <a16:creationId xmlns:a16="http://schemas.microsoft.com/office/drawing/2014/main" id="{75727ED4-5818-42E0-BF9A-2574C9D94D7D}"/>
            </a:ext>
          </a:extLst>
        </xdr:cNvPr>
        <xdr:cNvCxnSpPr>
          <a:stCxn id="16" idx="1"/>
        </xdr:cNvCxnSpPr>
      </xdr:nvCxnSpPr>
      <xdr:spPr>
        <a:xfrm flipH="1" flipV="1">
          <a:off x="17193216" y="4911764"/>
          <a:ext cx="480726" cy="8806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1449456</xdr:colOff>
      <xdr:row>21</xdr:row>
      <xdr:rowOff>110434</xdr:rowOff>
    </xdr:from>
    <xdr:to>
      <xdr:col>21</xdr:col>
      <xdr:colOff>1519402</xdr:colOff>
      <xdr:row>25</xdr:row>
      <xdr:rowOff>26811</xdr:rowOff>
    </xdr:to>
    <xdr:sp macro="" textlink="">
      <xdr:nvSpPr>
        <xdr:cNvPr id="6" name="TextBox 27">
          <a:extLst>
            <a:ext uri="{FF2B5EF4-FFF2-40B4-BE49-F238E27FC236}">
              <a16:creationId xmlns:a16="http://schemas.microsoft.com/office/drawing/2014/main" id="{DBCD5E72-9711-469A-9DFF-F55A019F91F8}"/>
            </a:ext>
          </a:extLst>
        </xdr:cNvPr>
        <xdr:cNvSpPr txBox="1"/>
      </xdr:nvSpPr>
      <xdr:spPr>
        <a:xfrm>
          <a:off x="18635869" y="5494130"/>
          <a:ext cx="4128424" cy="6342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8" name="TextBox 17">
          <a:extLst>
            <a:ext uri="{FF2B5EF4-FFF2-40B4-BE49-F238E27FC236}">
              <a16:creationId xmlns:a16="http://schemas.microsoft.com/office/drawing/2014/main" id="{1370D222-AFDF-43B3-83BD-7D6929B36F00}"/>
            </a:ext>
          </a:extLst>
        </xdr:cNvPr>
        <xdr:cNvSpPr txBox="1"/>
      </xdr:nvSpPr>
      <xdr:spPr>
        <a:xfrm>
          <a:off x="286871" y="99508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13</xdr:col>
      <xdr:colOff>476250</xdr:colOff>
      <xdr:row>1</xdr:row>
      <xdr:rowOff>116366</xdr:rowOff>
    </xdr:from>
    <xdr:to>
      <xdr:col>14</xdr:col>
      <xdr:colOff>606425</xdr:colOff>
      <xdr:row>4</xdr:row>
      <xdr:rowOff>539750</xdr:rowOff>
    </xdr:to>
    <xdr:cxnSp macro="">
      <xdr:nvCxnSpPr>
        <xdr:cNvPr id="4" name="Straight Arrow Connector 20">
          <a:extLst>
            <a:ext uri="{FF2B5EF4-FFF2-40B4-BE49-F238E27FC236}">
              <a16:creationId xmlns:a16="http://schemas.microsoft.com/office/drawing/2014/main" id="{8AF8E3F4-6BEA-4784-94A9-F77CE8F7F90A}"/>
            </a:ext>
          </a:extLst>
        </xdr:cNvPr>
        <xdr:cNvCxnSpPr>
          <a:cxnSpLocks/>
          <a:stCxn id="14" idx="1"/>
        </xdr:cNvCxnSpPr>
      </xdr:nvCxnSpPr>
      <xdr:spPr>
        <a:xfrm flipH="1">
          <a:off x="15716250" y="516416"/>
          <a:ext cx="1130300" cy="107108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539750</xdr:colOff>
      <xdr:row>2</xdr:row>
      <xdr:rowOff>161925</xdr:rowOff>
    </xdr:from>
    <xdr:to>
      <xdr:col>16</xdr:col>
      <xdr:colOff>550609</xdr:colOff>
      <xdr:row>4</xdr:row>
      <xdr:rowOff>314325</xdr:rowOff>
    </xdr:to>
    <xdr:cxnSp macro="">
      <xdr:nvCxnSpPr>
        <xdr:cNvPr id="3" name="Straight Arrow Connector 2">
          <a:extLst>
            <a:ext uri="{FF2B5EF4-FFF2-40B4-BE49-F238E27FC236}">
              <a16:creationId xmlns:a16="http://schemas.microsoft.com/office/drawing/2014/main" id="{5FCA0E9C-F8C0-43F3-BE75-285F381EC00F}"/>
            </a:ext>
          </a:extLst>
        </xdr:cNvPr>
        <xdr:cNvCxnSpPr>
          <a:cxnSpLocks/>
        </xdr:cNvCxnSpPr>
      </xdr:nvCxnSpPr>
      <xdr:spPr>
        <a:xfrm>
          <a:off x="17894300" y="819150"/>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4.xml><?xml version="1.0" encoding="utf-8"?>
<xdr:wsDr xmlns:xdr="http://schemas.openxmlformats.org/drawingml/2006/spreadsheetDrawing" xmlns:a="http://schemas.openxmlformats.org/drawingml/2006/main">
  <xdr:twoCellAnchor>
    <xdr:from>
      <xdr:col>18</xdr:col>
      <xdr:colOff>938481</xdr:colOff>
      <xdr:row>24</xdr:row>
      <xdr:rowOff>166873</xdr:rowOff>
    </xdr:from>
    <xdr:to>
      <xdr:col>19</xdr:col>
      <xdr:colOff>463755</xdr:colOff>
      <xdr:row>26</xdr:row>
      <xdr:rowOff>6186</xdr:rowOff>
    </xdr:to>
    <xdr:cxnSp macro="">
      <xdr:nvCxnSpPr>
        <xdr:cNvPr id="8" name="Straight Arrow Connector 5">
          <a:extLst>
            <a:ext uri="{FF2B5EF4-FFF2-40B4-BE49-F238E27FC236}">
              <a16:creationId xmlns:a16="http://schemas.microsoft.com/office/drawing/2014/main" id="{B68BA362-CB4E-478B-9D07-93E1A02244F7}"/>
            </a:ext>
          </a:extLst>
        </xdr:cNvPr>
        <xdr:cNvCxnSpPr/>
      </xdr:nvCxnSpPr>
      <xdr:spPr>
        <a:xfrm flipH="1">
          <a:off x="19209163" y="6040623"/>
          <a:ext cx="982887" cy="21454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522791</xdr:colOff>
      <xdr:row>24</xdr:row>
      <xdr:rowOff>156304</xdr:rowOff>
    </xdr:from>
    <xdr:to>
      <xdr:col>21</xdr:col>
      <xdr:colOff>676356</xdr:colOff>
      <xdr:row>25</xdr:row>
      <xdr:rowOff>173841</xdr:rowOff>
    </xdr:to>
    <xdr:cxnSp macro="">
      <xdr:nvCxnSpPr>
        <xdr:cNvPr id="17" name="Straight Arrow Connector 5">
          <a:extLst>
            <a:ext uri="{FF2B5EF4-FFF2-40B4-BE49-F238E27FC236}">
              <a16:creationId xmlns:a16="http://schemas.microsoft.com/office/drawing/2014/main" id="{C4B36CC0-3029-4D7C-A5BF-1B727AF99C22}"/>
            </a:ext>
          </a:extLst>
        </xdr:cNvPr>
        <xdr:cNvCxnSpPr>
          <a:cxnSpLocks/>
          <a:stCxn id="6" idx="2"/>
        </xdr:cNvCxnSpPr>
      </xdr:nvCxnSpPr>
      <xdr:spPr>
        <a:xfrm>
          <a:off x="21722720" y="6102625"/>
          <a:ext cx="1282957" cy="19443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389701</xdr:colOff>
      <xdr:row>23</xdr:row>
      <xdr:rowOff>140609</xdr:rowOff>
    </xdr:from>
    <xdr:to>
      <xdr:col>16</xdr:col>
      <xdr:colOff>762000</xdr:colOff>
      <xdr:row>27</xdr:row>
      <xdr:rowOff>63501</xdr:rowOff>
    </xdr:to>
    <xdr:sp macro="" textlink="">
      <xdr:nvSpPr>
        <xdr:cNvPr id="10" name="TextBox 9">
          <a:extLst>
            <a:ext uri="{FF2B5EF4-FFF2-40B4-BE49-F238E27FC236}">
              <a16:creationId xmlns:a16="http://schemas.microsoft.com/office/drawing/2014/main" id="{D9A735F9-8FD7-4ADF-9904-D95A1A3501BA}"/>
            </a:ext>
          </a:extLst>
        </xdr:cNvPr>
        <xdr:cNvSpPr txBox="1"/>
      </xdr:nvSpPr>
      <xdr:spPr>
        <a:xfrm>
          <a:off x="16629826" y="5646059"/>
          <a:ext cx="2334449" cy="64679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step efficiency is calculated based on the main feedstock input and main output.</a:t>
          </a:r>
          <a:endParaRPr lang="en-GB" sz="1100"/>
        </a:p>
      </xdr:txBody>
    </xdr:sp>
    <xdr:clientData/>
  </xdr:twoCellAnchor>
  <xdr:twoCellAnchor>
    <xdr:from>
      <xdr:col>18</xdr:col>
      <xdr:colOff>453569</xdr:colOff>
      <xdr:row>17</xdr:row>
      <xdr:rowOff>140897</xdr:rowOff>
    </xdr:from>
    <xdr:to>
      <xdr:col>21</xdr:col>
      <xdr:colOff>354732</xdr:colOff>
      <xdr:row>20</xdr:row>
      <xdr:rowOff>67913</xdr:rowOff>
    </xdr:to>
    <xdr:sp macro="" textlink="">
      <xdr:nvSpPr>
        <xdr:cNvPr id="11" name="TextBox 10">
          <a:extLst>
            <a:ext uri="{FF2B5EF4-FFF2-40B4-BE49-F238E27FC236}">
              <a16:creationId xmlns:a16="http://schemas.microsoft.com/office/drawing/2014/main" id="{21C3482C-0372-41DA-A762-D7935B0BD0DC}"/>
            </a:ext>
          </a:extLst>
        </xdr:cNvPr>
        <xdr:cNvSpPr txBox="1"/>
      </xdr:nvSpPr>
      <xdr:spPr>
        <a:xfrm>
          <a:off x="18724251" y="4701352"/>
          <a:ext cx="3956504"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step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14</xdr:col>
      <xdr:colOff>663641</xdr:colOff>
      <xdr:row>0</xdr:row>
      <xdr:rowOff>180307</xdr:rowOff>
    </xdr:from>
    <xdr:to>
      <xdr:col>19</xdr:col>
      <xdr:colOff>676275</xdr:colOff>
      <xdr:row>2</xdr:row>
      <xdr:rowOff>161925</xdr:rowOff>
    </xdr:to>
    <xdr:sp macro="" textlink="">
      <xdr:nvSpPr>
        <xdr:cNvPr id="14" name="TextBox 13">
          <a:extLst>
            <a:ext uri="{FF2B5EF4-FFF2-40B4-BE49-F238E27FC236}">
              <a16:creationId xmlns:a16="http://schemas.microsoft.com/office/drawing/2014/main" id="{1B89E8CD-91F1-4157-B544-36C93E203044}"/>
            </a:ext>
          </a:extLst>
        </xdr:cNvPr>
        <xdr:cNvSpPr txBox="1"/>
      </xdr:nvSpPr>
      <xdr:spPr>
        <a:xfrm>
          <a:off x="16903766" y="180307"/>
          <a:ext cx="5937184" cy="63884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twoCellAnchor>
    <xdr:from>
      <xdr:col>18</xdr:col>
      <xdr:colOff>6802</xdr:colOff>
      <xdr:row>19</xdr:row>
      <xdr:rowOff>13773</xdr:rowOff>
    </xdr:from>
    <xdr:to>
      <xdr:col>18</xdr:col>
      <xdr:colOff>450394</xdr:colOff>
      <xdr:row>19</xdr:row>
      <xdr:rowOff>85889</xdr:rowOff>
    </xdr:to>
    <xdr:cxnSp macro="">
      <xdr:nvCxnSpPr>
        <xdr:cNvPr id="15" name="Straight Arrow Connector 5">
          <a:extLst>
            <a:ext uri="{FF2B5EF4-FFF2-40B4-BE49-F238E27FC236}">
              <a16:creationId xmlns:a16="http://schemas.microsoft.com/office/drawing/2014/main" id="{7D69F201-13E6-4A55-8D72-D61BD7867809}"/>
            </a:ext>
          </a:extLst>
        </xdr:cNvPr>
        <xdr:cNvCxnSpPr>
          <a:stCxn id="11" idx="1"/>
        </xdr:cNvCxnSpPr>
      </xdr:nvCxnSpPr>
      <xdr:spPr>
        <a:xfrm flipH="1">
          <a:off x="18277484" y="4949455"/>
          <a:ext cx="443592" cy="7211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1382280</xdr:colOff>
      <xdr:row>20</xdr:row>
      <xdr:rowOff>136071</xdr:rowOff>
    </xdr:from>
    <xdr:to>
      <xdr:col>21</xdr:col>
      <xdr:colOff>1458538</xdr:colOff>
      <xdr:row>24</xdr:row>
      <xdr:rowOff>156304</xdr:rowOff>
    </xdr:to>
    <xdr:sp macro="" textlink="">
      <xdr:nvSpPr>
        <xdr:cNvPr id="6" name="TextBox 27">
          <a:extLst>
            <a:ext uri="{FF2B5EF4-FFF2-40B4-BE49-F238E27FC236}">
              <a16:creationId xmlns:a16="http://schemas.microsoft.com/office/drawing/2014/main" id="{8BC94696-1BB5-4FC3-BD54-9E83B9AD1FB0}"/>
            </a:ext>
          </a:extLst>
        </xdr:cNvPr>
        <xdr:cNvSpPr txBox="1"/>
      </xdr:nvSpPr>
      <xdr:spPr>
        <a:xfrm>
          <a:off x="19670280" y="5374821"/>
          <a:ext cx="4117579" cy="72780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8" name="TextBox 17">
          <a:extLst>
            <a:ext uri="{FF2B5EF4-FFF2-40B4-BE49-F238E27FC236}">
              <a16:creationId xmlns:a16="http://schemas.microsoft.com/office/drawing/2014/main" id="{3F470869-3BD5-42DF-8396-4155FF66D3D5}"/>
            </a:ext>
          </a:extLst>
        </xdr:cNvPr>
        <xdr:cNvSpPr txBox="1"/>
      </xdr:nvSpPr>
      <xdr:spPr>
        <a:xfrm>
          <a:off x="286871" y="99508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598404</xdr:colOff>
      <xdr:row>20</xdr:row>
      <xdr:rowOff>21427</xdr:rowOff>
    </xdr:from>
    <xdr:to>
      <xdr:col>14</xdr:col>
      <xdr:colOff>1011998</xdr:colOff>
      <xdr:row>23</xdr:row>
      <xdr:rowOff>170486</xdr:rowOff>
    </xdr:to>
    <xdr:cxnSp macro="">
      <xdr:nvCxnSpPr>
        <xdr:cNvPr id="4" name="Straight Arrow Connector 5">
          <a:extLst>
            <a:ext uri="{FF2B5EF4-FFF2-40B4-BE49-F238E27FC236}">
              <a16:creationId xmlns:a16="http://schemas.microsoft.com/office/drawing/2014/main" id="{57C8A085-86C1-46C6-B081-EF4B61BED7A6}"/>
            </a:ext>
          </a:extLst>
        </xdr:cNvPr>
        <xdr:cNvCxnSpPr/>
      </xdr:nvCxnSpPr>
      <xdr:spPr>
        <a:xfrm flipH="1" flipV="1">
          <a:off x="16841704" y="4983952"/>
          <a:ext cx="410419" cy="69198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30223</xdr:colOff>
      <xdr:row>7</xdr:row>
      <xdr:rowOff>122728</xdr:rowOff>
    </xdr:from>
    <xdr:to>
      <xdr:col>14</xdr:col>
      <xdr:colOff>466725</xdr:colOff>
      <xdr:row>18</xdr:row>
      <xdr:rowOff>152400</xdr:rowOff>
    </xdr:to>
    <xdr:cxnSp macro="">
      <xdr:nvCxnSpPr>
        <xdr:cNvPr id="7" name="Straight Arrow Connector 2">
          <a:extLst>
            <a:ext uri="{FF2B5EF4-FFF2-40B4-BE49-F238E27FC236}">
              <a16:creationId xmlns:a16="http://schemas.microsoft.com/office/drawing/2014/main" id="{6EB812CD-ADCF-4049-90CD-33BADFFC4D59}"/>
            </a:ext>
          </a:extLst>
        </xdr:cNvPr>
        <xdr:cNvCxnSpPr/>
      </xdr:nvCxnSpPr>
      <xdr:spPr>
        <a:xfrm>
          <a:off x="16267173" y="2735753"/>
          <a:ext cx="436502" cy="201722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xdr:colOff>
      <xdr:row>19</xdr:row>
      <xdr:rowOff>112796</xdr:rowOff>
    </xdr:from>
    <xdr:to>
      <xdr:col>14</xdr:col>
      <xdr:colOff>171450</xdr:colOff>
      <xdr:row>19</xdr:row>
      <xdr:rowOff>112796</xdr:rowOff>
    </xdr:to>
    <xdr:cxnSp macro="">
      <xdr:nvCxnSpPr>
        <xdr:cNvPr id="12" name="Straight Arrow Connector 3">
          <a:extLst>
            <a:ext uri="{FF2B5EF4-FFF2-40B4-BE49-F238E27FC236}">
              <a16:creationId xmlns:a16="http://schemas.microsoft.com/office/drawing/2014/main" id="{C0C09958-5C41-467D-B3FF-876CD42FF506}"/>
            </a:ext>
          </a:extLst>
        </xdr:cNvPr>
        <xdr:cNvCxnSpPr/>
      </xdr:nvCxnSpPr>
      <xdr:spPr>
        <a:xfrm>
          <a:off x="16246475" y="4894346"/>
          <a:ext cx="16510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476250</xdr:colOff>
      <xdr:row>1</xdr:row>
      <xdr:rowOff>85981</xdr:rowOff>
    </xdr:from>
    <xdr:to>
      <xdr:col>14</xdr:col>
      <xdr:colOff>647700</xdr:colOff>
      <xdr:row>4</xdr:row>
      <xdr:rowOff>542925</xdr:rowOff>
    </xdr:to>
    <xdr:cxnSp macro="">
      <xdr:nvCxnSpPr>
        <xdr:cNvPr id="13" name="Straight Arrow Connector 20">
          <a:extLst>
            <a:ext uri="{FF2B5EF4-FFF2-40B4-BE49-F238E27FC236}">
              <a16:creationId xmlns:a16="http://schemas.microsoft.com/office/drawing/2014/main" id="{3287EAC9-36D8-416F-A8C9-8BE84B71775D}"/>
            </a:ext>
          </a:extLst>
        </xdr:cNvPr>
        <xdr:cNvCxnSpPr>
          <a:cxnSpLocks/>
        </xdr:cNvCxnSpPr>
      </xdr:nvCxnSpPr>
      <xdr:spPr>
        <a:xfrm flipH="1">
          <a:off x="15716250" y="482856"/>
          <a:ext cx="1171575" cy="110464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476250</xdr:colOff>
      <xdr:row>1</xdr:row>
      <xdr:rowOff>85981</xdr:rowOff>
    </xdr:from>
    <xdr:to>
      <xdr:col>14</xdr:col>
      <xdr:colOff>647700</xdr:colOff>
      <xdr:row>4</xdr:row>
      <xdr:rowOff>542925</xdr:rowOff>
    </xdr:to>
    <xdr:cxnSp macro="">
      <xdr:nvCxnSpPr>
        <xdr:cNvPr id="19" name="Straight Arrow Connector 20">
          <a:extLst>
            <a:ext uri="{FF2B5EF4-FFF2-40B4-BE49-F238E27FC236}">
              <a16:creationId xmlns:a16="http://schemas.microsoft.com/office/drawing/2014/main" id="{3AAD217C-CE58-4D0D-8E58-8746D842B99A}"/>
            </a:ext>
          </a:extLst>
        </xdr:cNvPr>
        <xdr:cNvCxnSpPr>
          <a:cxnSpLocks/>
        </xdr:cNvCxnSpPr>
      </xdr:nvCxnSpPr>
      <xdr:spPr>
        <a:xfrm flipH="1">
          <a:off x="15716250" y="482856"/>
          <a:ext cx="1171575" cy="110464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539750</xdr:colOff>
      <xdr:row>2</xdr:row>
      <xdr:rowOff>161925</xdr:rowOff>
    </xdr:from>
    <xdr:to>
      <xdr:col>16</xdr:col>
      <xdr:colOff>550609</xdr:colOff>
      <xdr:row>4</xdr:row>
      <xdr:rowOff>314325</xdr:rowOff>
    </xdr:to>
    <xdr:cxnSp macro="">
      <xdr:nvCxnSpPr>
        <xdr:cNvPr id="2" name="Straight Arrow Connector 1">
          <a:extLst>
            <a:ext uri="{FF2B5EF4-FFF2-40B4-BE49-F238E27FC236}">
              <a16:creationId xmlns:a16="http://schemas.microsoft.com/office/drawing/2014/main" id="{159AE06B-207F-4778-AAD9-2AF89BCF6AB1}"/>
            </a:ext>
          </a:extLst>
        </xdr:cNvPr>
        <xdr:cNvCxnSpPr>
          <a:cxnSpLocks/>
        </xdr:cNvCxnSpPr>
      </xdr:nvCxnSpPr>
      <xdr:spPr>
        <a:xfrm>
          <a:off x="17913350" y="819150"/>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5.xml><?xml version="1.0" encoding="utf-8"?>
<xdr:wsDr xmlns:xdr="http://schemas.openxmlformats.org/drawingml/2006/spreadsheetDrawing" xmlns:a="http://schemas.openxmlformats.org/drawingml/2006/main">
  <xdr:twoCellAnchor>
    <xdr:from>
      <xdr:col>14</xdr:col>
      <xdr:colOff>598404</xdr:colOff>
      <xdr:row>20</xdr:row>
      <xdr:rowOff>21427</xdr:rowOff>
    </xdr:from>
    <xdr:to>
      <xdr:col>14</xdr:col>
      <xdr:colOff>1011998</xdr:colOff>
      <xdr:row>23</xdr:row>
      <xdr:rowOff>170486</xdr:rowOff>
    </xdr:to>
    <xdr:cxnSp macro="">
      <xdr:nvCxnSpPr>
        <xdr:cNvPr id="2" name="Straight Arrow Connector 5">
          <a:extLst>
            <a:ext uri="{FF2B5EF4-FFF2-40B4-BE49-F238E27FC236}">
              <a16:creationId xmlns:a16="http://schemas.microsoft.com/office/drawing/2014/main" id="{F3058496-C2F2-41F0-9153-DB28ED8B9F43}"/>
            </a:ext>
          </a:extLst>
        </xdr:cNvPr>
        <xdr:cNvCxnSpPr/>
      </xdr:nvCxnSpPr>
      <xdr:spPr>
        <a:xfrm flipH="1" flipV="1">
          <a:off x="16838529" y="4983952"/>
          <a:ext cx="413594" cy="69198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30223</xdr:colOff>
      <xdr:row>7</xdr:row>
      <xdr:rowOff>122728</xdr:rowOff>
    </xdr:from>
    <xdr:to>
      <xdr:col>14</xdr:col>
      <xdr:colOff>466725</xdr:colOff>
      <xdr:row>18</xdr:row>
      <xdr:rowOff>152400</xdr:rowOff>
    </xdr:to>
    <xdr:cxnSp macro="">
      <xdr:nvCxnSpPr>
        <xdr:cNvPr id="20" name="Straight Arrow Connector 2">
          <a:extLst>
            <a:ext uri="{FF2B5EF4-FFF2-40B4-BE49-F238E27FC236}">
              <a16:creationId xmlns:a16="http://schemas.microsoft.com/office/drawing/2014/main" id="{90C88921-FD9B-48A2-9B95-14C76BE608DB}"/>
            </a:ext>
          </a:extLst>
        </xdr:cNvPr>
        <xdr:cNvCxnSpPr/>
      </xdr:nvCxnSpPr>
      <xdr:spPr>
        <a:xfrm>
          <a:off x="16270348" y="2732578"/>
          <a:ext cx="436502" cy="2020397"/>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xdr:colOff>
      <xdr:row>19</xdr:row>
      <xdr:rowOff>112796</xdr:rowOff>
    </xdr:from>
    <xdr:to>
      <xdr:col>14</xdr:col>
      <xdr:colOff>171450</xdr:colOff>
      <xdr:row>19</xdr:row>
      <xdr:rowOff>112796</xdr:rowOff>
    </xdr:to>
    <xdr:cxnSp macro="">
      <xdr:nvCxnSpPr>
        <xdr:cNvPr id="22" name="Straight Arrow Connector 3">
          <a:extLst>
            <a:ext uri="{FF2B5EF4-FFF2-40B4-BE49-F238E27FC236}">
              <a16:creationId xmlns:a16="http://schemas.microsoft.com/office/drawing/2014/main" id="{D0187764-4A9F-4A66-B1A1-73F819E1A0D5}"/>
            </a:ext>
          </a:extLst>
        </xdr:cNvPr>
        <xdr:cNvCxnSpPr/>
      </xdr:nvCxnSpPr>
      <xdr:spPr>
        <a:xfrm>
          <a:off x="16249650" y="4894346"/>
          <a:ext cx="161925"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476250</xdr:colOff>
      <xdr:row>1</xdr:row>
      <xdr:rowOff>85981</xdr:rowOff>
    </xdr:from>
    <xdr:to>
      <xdr:col>14</xdr:col>
      <xdr:colOff>647700</xdr:colOff>
      <xdr:row>4</xdr:row>
      <xdr:rowOff>542925</xdr:rowOff>
    </xdr:to>
    <xdr:cxnSp macro="">
      <xdr:nvCxnSpPr>
        <xdr:cNvPr id="5" name="Straight Arrow Connector 20">
          <a:extLst>
            <a:ext uri="{FF2B5EF4-FFF2-40B4-BE49-F238E27FC236}">
              <a16:creationId xmlns:a16="http://schemas.microsoft.com/office/drawing/2014/main" id="{EF0BF379-F4D6-4DF6-9EA1-2E37B8C46053}"/>
            </a:ext>
          </a:extLst>
        </xdr:cNvPr>
        <xdr:cNvCxnSpPr>
          <a:cxnSpLocks/>
          <a:stCxn id="14" idx="1"/>
        </xdr:cNvCxnSpPr>
      </xdr:nvCxnSpPr>
      <xdr:spPr>
        <a:xfrm flipH="1">
          <a:off x="15716250" y="486031"/>
          <a:ext cx="1171575" cy="110464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735813</xdr:colOff>
      <xdr:row>24</xdr:row>
      <xdr:rowOff>137862</xdr:rowOff>
    </xdr:from>
    <xdr:to>
      <xdr:col>19</xdr:col>
      <xdr:colOff>162928</xdr:colOff>
      <xdr:row>25</xdr:row>
      <xdr:rowOff>145431</xdr:rowOff>
    </xdr:to>
    <xdr:cxnSp macro="">
      <xdr:nvCxnSpPr>
        <xdr:cNvPr id="18" name="Straight Arrow Connector 5">
          <a:extLst>
            <a:ext uri="{FF2B5EF4-FFF2-40B4-BE49-F238E27FC236}">
              <a16:creationId xmlns:a16="http://schemas.microsoft.com/office/drawing/2014/main" id="{9465D410-2AD2-49DB-9A86-CFE059B87270}"/>
            </a:ext>
          </a:extLst>
        </xdr:cNvPr>
        <xdr:cNvCxnSpPr/>
      </xdr:nvCxnSpPr>
      <xdr:spPr>
        <a:xfrm flipH="1">
          <a:off x="17918412" y="5978191"/>
          <a:ext cx="880930" cy="18302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640225</xdr:colOff>
      <xdr:row>24</xdr:row>
      <xdr:rowOff>145420</xdr:rowOff>
    </xdr:from>
    <xdr:to>
      <xdr:col>21</xdr:col>
      <xdr:colOff>388520</xdr:colOff>
      <xdr:row>25</xdr:row>
      <xdr:rowOff>137862</xdr:rowOff>
    </xdr:to>
    <xdr:cxnSp macro="">
      <xdr:nvCxnSpPr>
        <xdr:cNvPr id="23" name="Straight Arrow Connector 5">
          <a:extLst>
            <a:ext uri="{FF2B5EF4-FFF2-40B4-BE49-F238E27FC236}">
              <a16:creationId xmlns:a16="http://schemas.microsoft.com/office/drawing/2014/main" id="{22E94D39-36C0-495D-AF4E-E763348DCCEC}"/>
            </a:ext>
          </a:extLst>
        </xdr:cNvPr>
        <xdr:cNvCxnSpPr>
          <a:cxnSpLocks/>
          <a:stCxn id="6" idx="2"/>
        </xdr:cNvCxnSpPr>
      </xdr:nvCxnSpPr>
      <xdr:spPr>
        <a:xfrm>
          <a:off x="20730455" y="5985749"/>
          <a:ext cx="876256" cy="16790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311958</xdr:colOff>
      <xdr:row>24</xdr:row>
      <xdr:rowOff>18086</xdr:rowOff>
    </xdr:from>
    <xdr:to>
      <xdr:col>16</xdr:col>
      <xdr:colOff>561975</xdr:colOff>
      <xdr:row>27</xdr:row>
      <xdr:rowOff>133350</xdr:rowOff>
    </xdr:to>
    <xdr:sp macro="" textlink="">
      <xdr:nvSpPr>
        <xdr:cNvPr id="10" name="TextBox 9">
          <a:extLst>
            <a:ext uri="{FF2B5EF4-FFF2-40B4-BE49-F238E27FC236}">
              <a16:creationId xmlns:a16="http://schemas.microsoft.com/office/drawing/2014/main" id="{48A3728C-D066-4D58-8F26-5A45E31984DC}"/>
            </a:ext>
          </a:extLst>
        </xdr:cNvPr>
        <xdr:cNvSpPr txBox="1"/>
      </xdr:nvSpPr>
      <xdr:spPr>
        <a:xfrm>
          <a:off x="16552083" y="5704511"/>
          <a:ext cx="2174067" cy="65818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step efficiency is calculated based on the main feedstock input and main output.</a:t>
          </a:r>
          <a:endParaRPr lang="en-GB" sz="1100"/>
        </a:p>
      </xdr:txBody>
    </xdr:sp>
    <xdr:clientData/>
  </xdr:twoCellAnchor>
  <xdr:twoCellAnchor>
    <xdr:from>
      <xdr:col>18</xdr:col>
      <xdr:colOff>505874</xdr:colOff>
      <xdr:row>17</xdr:row>
      <xdr:rowOff>108859</xdr:rowOff>
    </xdr:from>
    <xdr:to>
      <xdr:col>21</xdr:col>
      <xdr:colOff>426786</xdr:colOff>
      <xdr:row>20</xdr:row>
      <xdr:rowOff>75508</xdr:rowOff>
    </xdr:to>
    <xdr:sp macro="" textlink="">
      <xdr:nvSpPr>
        <xdr:cNvPr id="11" name="TextBox 10">
          <a:extLst>
            <a:ext uri="{FF2B5EF4-FFF2-40B4-BE49-F238E27FC236}">
              <a16:creationId xmlns:a16="http://schemas.microsoft.com/office/drawing/2014/main" id="{2B0DC69D-5594-4B6C-91CE-5885210A8C69}"/>
            </a:ext>
          </a:extLst>
        </xdr:cNvPr>
        <xdr:cNvSpPr txBox="1"/>
      </xdr:nvSpPr>
      <xdr:spPr>
        <a:xfrm>
          <a:off x="17688473" y="4520438"/>
          <a:ext cx="3956504" cy="49303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step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14</xdr:col>
      <xdr:colOff>647700</xdr:colOff>
      <xdr:row>0</xdr:row>
      <xdr:rowOff>159261</xdr:rowOff>
    </xdr:from>
    <xdr:to>
      <xdr:col>18</xdr:col>
      <xdr:colOff>1358900</xdr:colOff>
      <xdr:row>2</xdr:row>
      <xdr:rowOff>152400</xdr:rowOff>
    </xdr:to>
    <xdr:sp macro="" textlink="">
      <xdr:nvSpPr>
        <xdr:cNvPr id="14" name="TextBox 13">
          <a:extLst>
            <a:ext uri="{FF2B5EF4-FFF2-40B4-BE49-F238E27FC236}">
              <a16:creationId xmlns:a16="http://schemas.microsoft.com/office/drawing/2014/main" id="{E1AC78AF-4DCD-4B97-982C-934934CC9A36}"/>
            </a:ext>
          </a:extLst>
        </xdr:cNvPr>
        <xdr:cNvSpPr txBox="1"/>
      </xdr:nvSpPr>
      <xdr:spPr>
        <a:xfrm>
          <a:off x="16887825" y="159261"/>
          <a:ext cx="5854700" cy="65036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twoCellAnchor>
    <xdr:from>
      <xdr:col>18</xdr:col>
      <xdr:colOff>46407</xdr:colOff>
      <xdr:row>19</xdr:row>
      <xdr:rowOff>6041</xdr:rowOff>
    </xdr:from>
    <xdr:to>
      <xdr:col>18</xdr:col>
      <xdr:colOff>502699</xdr:colOff>
      <xdr:row>19</xdr:row>
      <xdr:rowOff>84507</xdr:rowOff>
    </xdr:to>
    <xdr:cxnSp macro="">
      <xdr:nvCxnSpPr>
        <xdr:cNvPr id="15" name="Straight Arrow Connector 5">
          <a:extLst>
            <a:ext uri="{FF2B5EF4-FFF2-40B4-BE49-F238E27FC236}">
              <a16:creationId xmlns:a16="http://schemas.microsoft.com/office/drawing/2014/main" id="{1AB5B68C-2401-43BD-AD1D-87D1C4515045}"/>
            </a:ext>
          </a:extLst>
        </xdr:cNvPr>
        <xdr:cNvCxnSpPr>
          <a:stCxn id="11" idx="1"/>
        </xdr:cNvCxnSpPr>
      </xdr:nvCxnSpPr>
      <xdr:spPr>
        <a:xfrm flipH="1">
          <a:off x="17229006" y="4768541"/>
          <a:ext cx="456292" cy="7846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25066</xdr:colOff>
      <xdr:row>21</xdr:row>
      <xdr:rowOff>37599</xdr:rowOff>
    </xdr:from>
    <xdr:to>
      <xdr:col>21</xdr:col>
      <xdr:colOff>1578063</xdr:colOff>
      <xdr:row>24</xdr:row>
      <xdr:rowOff>142245</xdr:rowOff>
    </xdr:to>
    <xdr:sp macro="" textlink="">
      <xdr:nvSpPr>
        <xdr:cNvPr id="6" name="TextBox 27">
          <a:extLst>
            <a:ext uri="{FF2B5EF4-FFF2-40B4-BE49-F238E27FC236}">
              <a16:creationId xmlns:a16="http://schemas.microsoft.com/office/drawing/2014/main" id="{BC5982BC-B3E1-4E87-935A-940178E08536}"/>
            </a:ext>
          </a:extLst>
        </xdr:cNvPr>
        <xdr:cNvSpPr txBox="1"/>
      </xdr:nvSpPr>
      <xdr:spPr>
        <a:xfrm>
          <a:off x="18661480" y="5351546"/>
          <a:ext cx="4134774" cy="6310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8DEF5D5D-D955-4B33-828C-93EA44930285}"/>
            </a:ext>
          </a:extLst>
        </xdr:cNvPr>
        <xdr:cNvSpPr txBox="1"/>
      </xdr:nvSpPr>
      <xdr:spPr>
        <a:xfrm>
          <a:off x="286871" y="99508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16</xdr:col>
      <xdr:colOff>485775</xdr:colOff>
      <xdr:row>2</xdr:row>
      <xdr:rowOff>152400</xdr:rowOff>
    </xdr:from>
    <xdr:to>
      <xdr:col>16</xdr:col>
      <xdr:colOff>504825</xdr:colOff>
      <xdr:row>4</xdr:row>
      <xdr:rowOff>400050</xdr:rowOff>
    </xdr:to>
    <xdr:cxnSp macro="">
      <xdr:nvCxnSpPr>
        <xdr:cNvPr id="13" name="Straight Arrow Connector 12">
          <a:extLst>
            <a:ext uri="{FF2B5EF4-FFF2-40B4-BE49-F238E27FC236}">
              <a16:creationId xmlns:a16="http://schemas.microsoft.com/office/drawing/2014/main" id="{758E4C1D-45A8-4CA0-B32D-B479B739C079}"/>
            </a:ext>
          </a:extLst>
        </xdr:cNvPr>
        <xdr:cNvCxnSpPr>
          <a:cxnSpLocks/>
        </xdr:cNvCxnSpPr>
      </xdr:nvCxnSpPr>
      <xdr:spPr>
        <a:xfrm>
          <a:off x="19326225" y="809625"/>
          <a:ext cx="19050" cy="6381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6.xml><?xml version="1.0" encoding="utf-8"?>
<xdr:wsDr xmlns:xdr="http://schemas.openxmlformats.org/drawingml/2006/spreadsheetDrawing" xmlns:a="http://schemas.openxmlformats.org/drawingml/2006/main">
  <xdr:twoCellAnchor>
    <xdr:from>
      <xdr:col>14</xdr:col>
      <xdr:colOff>495588</xdr:colOff>
      <xdr:row>20</xdr:row>
      <xdr:rowOff>16205</xdr:rowOff>
    </xdr:from>
    <xdr:to>
      <xdr:col>14</xdr:col>
      <xdr:colOff>932961</xdr:colOff>
      <xdr:row>23</xdr:row>
      <xdr:rowOff>126465</xdr:rowOff>
    </xdr:to>
    <xdr:cxnSp macro="">
      <xdr:nvCxnSpPr>
        <xdr:cNvPr id="2" name="Straight Arrow Connector 5">
          <a:extLst>
            <a:ext uri="{FF2B5EF4-FFF2-40B4-BE49-F238E27FC236}">
              <a16:creationId xmlns:a16="http://schemas.microsoft.com/office/drawing/2014/main" id="{C07D39FD-CD8A-4E60-80F4-14327893C8F5}"/>
            </a:ext>
          </a:extLst>
        </xdr:cNvPr>
        <xdr:cNvCxnSpPr/>
      </xdr:nvCxnSpPr>
      <xdr:spPr>
        <a:xfrm flipH="1" flipV="1">
          <a:off x="16735713" y="4978730"/>
          <a:ext cx="437373" cy="65318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xdr:colOff>
      <xdr:row>7</xdr:row>
      <xdr:rowOff>104775</xdr:rowOff>
    </xdr:from>
    <xdr:to>
      <xdr:col>14</xdr:col>
      <xdr:colOff>501650</xdr:colOff>
      <xdr:row>18</xdr:row>
      <xdr:rowOff>114300</xdr:rowOff>
    </xdr:to>
    <xdr:cxnSp macro="">
      <xdr:nvCxnSpPr>
        <xdr:cNvPr id="47" name="Straight Arrow Connector 2">
          <a:extLst>
            <a:ext uri="{FF2B5EF4-FFF2-40B4-BE49-F238E27FC236}">
              <a16:creationId xmlns:a16="http://schemas.microsoft.com/office/drawing/2014/main" id="{D7931111-0E97-415A-9B1F-4D6FDDB945BC}"/>
            </a:ext>
          </a:extLst>
        </xdr:cNvPr>
        <xdr:cNvCxnSpPr/>
      </xdr:nvCxnSpPr>
      <xdr:spPr>
        <a:xfrm>
          <a:off x="16249650" y="2714625"/>
          <a:ext cx="492125" cy="200025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476250</xdr:colOff>
      <xdr:row>1</xdr:row>
      <xdr:rowOff>112713</xdr:rowOff>
    </xdr:from>
    <xdr:to>
      <xdr:col>14</xdr:col>
      <xdr:colOff>542925</xdr:colOff>
      <xdr:row>4</xdr:row>
      <xdr:rowOff>523875</xdr:rowOff>
    </xdr:to>
    <xdr:cxnSp macro="">
      <xdr:nvCxnSpPr>
        <xdr:cNvPr id="5" name="Straight Arrow Connector 20">
          <a:extLst>
            <a:ext uri="{FF2B5EF4-FFF2-40B4-BE49-F238E27FC236}">
              <a16:creationId xmlns:a16="http://schemas.microsoft.com/office/drawing/2014/main" id="{FBACAE4C-1745-4028-810A-65EAF77C1CA6}"/>
            </a:ext>
          </a:extLst>
        </xdr:cNvPr>
        <xdr:cNvCxnSpPr>
          <a:cxnSpLocks/>
          <a:stCxn id="13" idx="1"/>
        </xdr:cNvCxnSpPr>
      </xdr:nvCxnSpPr>
      <xdr:spPr>
        <a:xfrm flipH="1">
          <a:off x="15716250" y="512763"/>
          <a:ext cx="1066800" cy="105886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779732</xdr:colOff>
      <xdr:row>24</xdr:row>
      <xdr:rowOff>166873</xdr:rowOff>
    </xdr:from>
    <xdr:to>
      <xdr:col>19</xdr:col>
      <xdr:colOff>305006</xdr:colOff>
      <xdr:row>26</xdr:row>
      <xdr:rowOff>6186</xdr:rowOff>
    </xdr:to>
    <xdr:cxnSp macro="">
      <xdr:nvCxnSpPr>
        <xdr:cNvPr id="8" name="Straight Arrow Connector 5">
          <a:extLst>
            <a:ext uri="{FF2B5EF4-FFF2-40B4-BE49-F238E27FC236}">
              <a16:creationId xmlns:a16="http://schemas.microsoft.com/office/drawing/2014/main" id="{FBD0584F-D869-4F3D-8570-C1C0BDA0836B}"/>
            </a:ext>
          </a:extLst>
        </xdr:cNvPr>
        <xdr:cNvCxnSpPr/>
      </xdr:nvCxnSpPr>
      <xdr:spPr>
        <a:xfrm flipH="1">
          <a:off x="18934959" y="6040623"/>
          <a:ext cx="982888" cy="21454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391709</xdr:colOff>
      <xdr:row>24</xdr:row>
      <xdr:rowOff>143521</xdr:rowOff>
    </xdr:from>
    <xdr:to>
      <xdr:col>21</xdr:col>
      <xdr:colOff>523957</xdr:colOff>
      <xdr:row>25</xdr:row>
      <xdr:rowOff>149802</xdr:rowOff>
    </xdr:to>
    <xdr:cxnSp macro="">
      <xdr:nvCxnSpPr>
        <xdr:cNvPr id="17" name="Straight Arrow Connector 5">
          <a:extLst>
            <a:ext uri="{FF2B5EF4-FFF2-40B4-BE49-F238E27FC236}">
              <a16:creationId xmlns:a16="http://schemas.microsoft.com/office/drawing/2014/main" id="{A26F2912-9D38-401E-8E83-DBA2C03D53F8}"/>
            </a:ext>
          </a:extLst>
        </xdr:cNvPr>
        <xdr:cNvCxnSpPr>
          <a:cxnSpLocks/>
          <a:stCxn id="6" idx="2"/>
        </xdr:cNvCxnSpPr>
      </xdr:nvCxnSpPr>
      <xdr:spPr>
        <a:xfrm>
          <a:off x="21462164" y="6089430"/>
          <a:ext cx="1272361" cy="19389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295275</xdr:colOff>
      <xdr:row>23</xdr:row>
      <xdr:rowOff>164564</xdr:rowOff>
    </xdr:from>
    <xdr:to>
      <xdr:col>16</xdr:col>
      <xdr:colOff>314324</xdr:colOff>
      <xdr:row>28</xdr:row>
      <xdr:rowOff>3174</xdr:rowOff>
    </xdr:to>
    <xdr:sp macro="" textlink="">
      <xdr:nvSpPr>
        <xdr:cNvPr id="10" name="TextBox 9">
          <a:extLst>
            <a:ext uri="{FF2B5EF4-FFF2-40B4-BE49-F238E27FC236}">
              <a16:creationId xmlns:a16="http://schemas.microsoft.com/office/drawing/2014/main" id="{3DB0886A-9355-4B0A-9902-A95670576EAA}"/>
            </a:ext>
          </a:extLst>
        </xdr:cNvPr>
        <xdr:cNvSpPr txBox="1"/>
      </xdr:nvSpPr>
      <xdr:spPr>
        <a:xfrm>
          <a:off x="16535400" y="5670014"/>
          <a:ext cx="2533649" cy="74348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step efficiency is calculated based on the main feedstock input and main output.</a:t>
          </a:r>
          <a:endParaRPr lang="en-GB" sz="1100"/>
        </a:p>
      </xdr:txBody>
    </xdr:sp>
    <xdr:clientData/>
  </xdr:twoCellAnchor>
  <xdr:twoCellAnchor>
    <xdr:from>
      <xdr:col>18</xdr:col>
      <xdr:colOff>468002</xdr:colOff>
      <xdr:row>17</xdr:row>
      <xdr:rowOff>112034</xdr:rowOff>
    </xdr:from>
    <xdr:to>
      <xdr:col>21</xdr:col>
      <xdr:colOff>369165</xdr:colOff>
      <xdr:row>20</xdr:row>
      <xdr:rowOff>39050</xdr:rowOff>
    </xdr:to>
    <xdr:sp macro="" textlink="">
      <xdr:nvSpPr>
        <xdr:cNvPr id="11" name="TextBox 10">
          <a:extLst>
            <a:ext uri="{FF2B5EF4-FFF2-40B4-BE49-F238E27FC236}">
              <a16:creationId xmlns:a16="http://schemas.microsoft.com/office/drawing/2014/main" id="{983D7136-DEBF-4893-BE71-9F75062BC79E}"/>
            </a:ext>
          </a:extLst>
        </xdr:cNvPr>
        <xdr:cNvSpPr txBox="1"/>
      </xdr:nvSpPr>
      <xdr:spPr>
        <a:xfrm>
          <a:off x="18623229" y="4672489"/>
          <a:ext cx="3956504"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step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21236</xdr:colOff>
      <xdr:row>18</xdr:row>
      <xdr:rowOff>172524</xdr:rowOff>
    </xdr:from>
    <xdr:to>
      <xdr:col>18</xdr:col>
      <xdr:colOff>464827</xdr:colOff>
      <xdr:row>19</xdr:row>
      <xdr:rowOff>57026</xdr:rowOff>
    </xdr:to>
    <xdr:cxnSp macro="">
      <xdr:nvCxnSpPr>
        <xdr:cNvPr id="15" name="Straight Arrow Connector 5">
          <a:extLst>
            <a:ext uri="{FF2B5EF4-FFF2-40B4-BE49-F238E27FC236}">
              <a16:creationId xmlns:a16="http://schemas.microsoft.com/office/drawing/2014/main" id="{19CD4E35-8A8B-4080-9814-51D0A5CCDBB4}"/>
            </a:ext>
          </a:extLst>
        </xdr:cNvPr>
        <xdr:cNvCxnSpPr>
          <a:stCxn id="11" idx="1"/>
        </xdr:cNvCxnSpPr>
      </xdr:nvCxnSpPr>
      <xdr:spPr>
        <a:xfrm flipH="1">
          <a:off x="18176463" y="4920592"/>
          <a:ext cx="443591" cy="7211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1241137</xdr:colOff>
      <xdr:row>21</xdr:row>
      <xdr:rowOff>72159</xdr:rowOff>
    </xdr:from>
    <xdr:to>
      <xdr:col>21</xdr:col>
      <xdr:colOff>1317395</xdr:colOff>
      <xdr:row>24</xdr:row>
      <xdr:rowOff>140346</xdr:rowOff>
    </xdr:to>
    <xdr:sp macro="" textlink="">
      <xdr:nvSpPr>
        <xdr:cNvPr id="6" name="TextBox 27">
          <a:extLst>
            <a:ext uri="{FF2B5EF4-FFF2-40B4-BE49-F238E27FC236}">
              <a16:creationId xmlns:a16="http://schemas.microsoft.com/office/drawing/2014/main" id="{F5D45A6F-CB39-47AE-9F9A-08A5B53E4A85}"/>
            </a:ext>
          </a:extLst>
        </xdr:cNvPr>
        <xdr:cNvSpPr txBox="1"/>
      </xdr:nvSpPr>
      <xdr:spPr>
        <a:xfrm>
          <a:off x="19396364" y="5455227"/>
          <a:ext cx="4131599" cy="6310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B6D829E1-1900-4D88-8991-168922FEFF95}"/>
            </a:ext>
          </a:extLst>
        </xdr:cNvPr>
        <xdr:cNvSpPr txBox="1"/>
      </xdr:nvSpPr>
      <xdr:spPr>
        <a:xfrm>
          <a:off x="286871" y="99508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539750</xdr:colOff>
      <xdr:row>0</xdr:row>
      <xdr:rowOff>200025</xdr:rowOff>
    </xdr:from>
    <xdr:to>
      <xdr:col>18</xdr:col>
      <xdr:colOff>1447528</xdr:colOff>
      <xdr:row>2</xdr:row>
      <xdr:rowOff>171450</xdr:rowOff>
    </xdr:to>
    <xdr:sp macro="" textlink="">
      <xdr:nvSpPr>
        <xdr:cNvPr id="13" name="TextBox 12">
          <a:extLst>
            <a:ext uri="{FF2B5EF4-FFF2-40B4-BE49-F238E27FC236}">
              <a16:creationId xmlns:a16="http://schemas.microsoft.com/office/drawing/2014/main" id="{5246CC49-8C47-4F07-980B-2CDEDE9134A8}"/>
            </a:ext>
          </a:extLst>
        </xdr:cNvPr>
        <xdr:cNvSpPr txBox="1"/>
      </xdr:nvSpPr>
      <xdr:spPr>
        <a:xfrm>
          <a:off x="16779875" y="200025"/>
          <a:ext cx="5965553" cy="6286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twoCellAnchor>
    <xdr:from>
      <xdr:col>14</xdr:col>
      <xdr:colOff>6350</xdr:colOff>
      <xdr:row>19</xdr:row>
      <xdr:rowOff>111125</xdr:rowOff>
    </xdr:from>
    <xdr:to>
      <xdr:col>14</xdr:col>
      <xdr:colOff>123825</xdr:colOff>
      <xdr:row>19</xdr:row>
      <xdr:rowOff>111125</xdr:rowOff>
    </xdr:to>
    <xdr:cxnSp macro="">
      <xdr:nvCxnSpPr>
        <xdr:cNvPr id="33" name="Straight Arrow Connector 3">
          <a:extLst>
            <a:ext uri="{FF2B5EF4-FFF2-40B4-BE49-F238E27FC236}">
              <a16:creationId xmlns:a16="http://schemas.microsoft.com/office/drawing/2014/main" id="{277B65CD-1512-4B60-8B23-DB59E4F63E3A}"/>
            </a:ext>
          </a:extLst>
        </xdr:cNvPr>
        <xdr:cNvCxnSpPr/>
      </xdr:nvCxnSpPr>
      <xdr:spPr>
        <a:xfrm>
          <a:off x="16246475" y="4892675"/>
          <a:ext cx="117475"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539750</xdr:colOff>
      <xdr:row>2</xdr:row>
      <xdr:rowOff>171450</xdr:rowOff>
    </xdr:from>
    <xdr:to>
      <xdr:col>16</xdr:col>
      <xdr:colOff>550609</xdr:colOff>
      <xdr:row>4</xdr:row>
      <xdr:rowOff>323850</xdr:rowOff>
    </xdr:to>
    <xdr:cxnSp macro="">
      <xdr:nvCxnSpPr>
        <xdr:cNvPr id="3" name="Straight Arrow Connector 2">
          <a:extLst>
            <a:ext uri="{FF2B5EF4-FFF2-40B4-BE49-F238E27FC236}">
              <a16:creationId xmlns:a16="http://schemas.microsoft.com/office/drawing/2014/main" id="{D2C393A9-BEA1-429B-A7A3-BBF9B1D914E8}"/>
            </a:ext>
          </a:extLst>
        </xdr:cNvPr>
        <xdr:cNvCxnSpPr>
          <a:cxnSpLocks/>
        </xdr:cNvCxnSpPr>
      </xdr:nvCxnSpPr>
      <xdr:spPr>
        <a:xfrm>
          <a:off x="18103850" y="82867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7.xml><?xml version="1.0" encoding="utf-8"?>
<xdr:wsDr xmlns:xdr="http://schemas.openxmlformats.org/drawingml/2006/spreadsheetDrawing" xmlns:a="http://schemas.openxmlformats.org/drawingml/2006/main">
  <xdr:twoCellAnchor>
    <xdr:from>
      <xdr:col>13</xdr:col>
      <xdr:colOff>390525</xdr:colOff>
      <xdr:row>1</xdr:row>
      <xdr:rowOff>65088</xdr:rowOff>
    </xdr:from>
    <xdr:to>
      <xdr:col>14</xdr:col>
      <xdr:colOff>466997</xdr:colOff>
      <xdr:row>4</xdr:row>
      <xdr:rowOff>381000</xdr:rowOff>
    </xdr:to>
    <xdr:cxnSp macro="">
      <xdr:nvCxnSpPr>
        <xdr:cNvPr id="5" name="Straight Arrow Connector 20">
          <a:extLst>
            <a:ext uri="{FF2B5EF4-FFF2-40B4-BE49-F238E27FC236}">
              <a16:creationId xmlns:a16="http://schemas.microsoft.com/office/drawing/2014/main" id="{D88D6C64-86EC-4E43-8490-E50DE060035E}"/>
            </a:ext>
          </a:extLst>
        </xdr:cNvPr>
        <xdr:cNvCxnSpPr>
          <a:cxnSpLocks/>
          <a:stCxn id="9" idx="1"/>
        </xdr:cNvCxnSpPr>
      </xdr:nvCxnSpPr>
      <xdr:spPr>
        <a:xfrm flipH="1">
          <a:off x="15630525" y="465138"/>
          <a:ext cx="1076597" cy="96361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19050</xdr:colOff>
      <xdr:row>8</xdr:row>
      <xdr:rowOff>114300</xdr:rowOff>
    </xdr:from>
    <xdr:to>
      <xdr:col>18</xdr:col>
      <xdr:colOff>902607</xdr:colOff>
      <xdr:row>9</xdr:row>
      <xdr:rowOff>138622</xdr:rowOff>
    </xdr:to>
    <xdr:cxnSp macro="">
      <xdr:nvCxnSpPr>
        <xdr:cNvPr id="7" name="Straight Arrow Connector 5">
          <a:extLst>
            <a:ext uri="{FF2B5EF4-FFF2-40B4-BE49-F238E27FC236}">
              <a16:creationId xmlns:a16="http://schemas.microsoft.com/office/drawing/2014/main" id="{C28477EC-92B3-4BD9-B017-9C590909C9D6}"/>
            </a:ext>
          </a:extLst>
        </xdr:cNvPr>
        <xdr:cNvCxnSpPr>
          <a:stCxn id="14" idx="1"/>
        </xdr:cNvCxnSpPr>
      </xdr:nvCxnSpPr>
      <xdr:spPr>
        <a:xfrm flipH="1" flipV="1">
          <a:off x="18383250" y="2647950"/>
          <a:ext cx="883557" cy="21482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266700</xdr:colOff>
      <xdr:row>13</xdr:row>
      <xdr:rowOff>164829</xdr:rowOff>
    </xdr:from>
    <xdr:to>
      <xdr:col>16</xdr:col>
      <xdr:colOff>695326</xdr:colOff>
      <xdr:row>17</xdr:row>
      <xdr:rowOff>64861</xdr:rowOff>
    </xdr:to>
    <xdr:sp macro="" textlink="">
      <xdr:nvSpPr>
        <xdr:cNvPr id="4" name="TextBox 7">
          <a:extLst>
            <a:ext uri="{FF2B5EF4-FFF2-40B4-BE49-F238E27FC236}">
              <a16:creationId xmlns:a16="http://schemas.microsoft.com/office/drawing/2014/main" id="{230B8F64-95DD-490D-B77C-A11B83FA5A9A}"/>
            </a:ext>
          </a:extLst>
        </xdr:cNvPr>
        <xdr:cNvSpPr txBox="1"/>
      </xdr:nvSpPr>
      <xdr:spPr>
        <a:xfrm>
          <a:off x="16506825" y="3860529"/>
          <a:ext cx="2505076" cy="62393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step efficiency is calculated based on the main feedstock input and hydrogen output.</a:t>
          </a:r>
          <a:endParaRPr lang="en-GB" sz="1100"/>
        </a:p>
      </xdr:txBody>
    </xdr:sp>
    <xdr:clientData/>
  </xdr:twoCellAnchor>
  <xdr:twoCellAnchor>
    <xdr:from>
      <xdr:col>14</xdr:col>
      <xdr:colOff>463822</xdr:colOff>
      <xdr:row>0</xdr:row>
      <xdr:rowOff>149225</xdr:rowOff>
    </xdr:from>
    <xdr:to>
      <xdr:col>19</xdr:col>
      <xdr:colOff>161925</xdr:colOff>
      <xdr:row>2</xdr:row>
      <xdr:rowOff>120650</xdr:rowOff>
    </xdr:to>
    <xdr:sp macro="" textlink="">
      <xdr:nvSpPr>
        <xdr:cNvPr id="9" name="TextBox 8">
          <a:extLst>
            <a:ext uri="{FF2B5EF4-FFF2-40B4-BE49-F238E27FC236}">
              <a16:creationId xmlns:a16="http://schemas.microsoft.com/office/drawing/2014/main" id="{244D0F2D-4B12-4795-ACCF-777A0312D942}"/>
            </a:ext>
          </a:extLst>
        </xdr:cNvPr>
        <xdr:cNvSpPr txBox="1"/>
      </xdr:nvSpPr>
      <xdr:spPr>
        <a:xfrm>
          <a:off x="16703947" y="149225"/>
          <a:ext cx="5765528" cy="6286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twoCellAnchor>
    <xdr:from>
      <xdr:col>19</xdr:col>
      <xdr:colOff>913946</xdr:colOff>
      <xdr:row>16</xdr:row>
      <xdr:rowOff>144800</xdr:rowOff>
    </xdr:from>
    <xdr:to>
      <xdr:col>19</xdr:col>
      <xdr:colOff>1106033</xdr:colOff>
      <xdr:row>18</xdr:row>
      <xdr:rowOff>87539</xdr:rowOff>
    </xdr:to>
    <xdr:cxnSp macro="">
      <xdr:nvCxnSpPr>
        <xdr:cNvPr id="21" name="Straight Arrow Connector 5">
          <a:extLst>
            <a:ext uri="{FF2B5EF4-FFF2-40B4-BE49-F238E27FC236}">
              <a16:creationId xmlns:a16="http://schemas.microsoft.com/office/drawing/2014/main" id="{3D8DBD46-ACAE-4898-A423-789A01B407C1}"/>
            </a:ext>
          </a:extLst>
        </xdr:cNvPr>
        <xdr:cNvCxnSpPr>
          <a:cxnSpLocks/>
        </xdr:cNvCxnSpPr>
      </xdr:nvCxnSpPr>
      <xdr:spPr>
        <a:xfrm flipH="1">
          <a:off x="20744996" y="4202450"/>
          <a:ext cx="192087" cy="32373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914400</xdr:colOff>
      <xdr:row>16</xdr:row>
      <xdr:rowOff>144800</xdr:rowOff>
    </xdr:from>
    <xdr:to>
      <xdr:col>19</xdr:col>
      <xdr:colOff>1109208</xdr:colOff>
      <xdr:row>18</xdr:row>
      <xdr:rowOff>76200</xdr:rowOff>
    </xdr:to>
    <xdr:cxnSp macro="">
      <xdr:nvCxnSpPr>
        <xdr:cNvPr id="20" name="Straight Arrow Connector 5">
          <a:extLst>
            <a:ext uri="{FF2B5EF4-FFF2-40B4-BE49-F238E27FC236}">
              <a16:creationId xmlns:a16="http://schemas.microsoft.com/office/drawing/2014/main" id="{DD26B39B-099E-4921-9912-D5ACFD3DA6DF}"/>
            </a:ext>
          </a:extLst>
        </xdr:cNvPr>
        <xdr:cNvCxnSpPr>
          <a:cxnSpLocks/>
        </xdr:cNvCxnSpPr>
      </xdr:nvCxnSpPr>
      <xdr:spPr>
        <a:xfrm flipH="1">
          <a:off x="19278600" y="4202450"/>
          <a:ext cx="1661658" cy="31240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256051</xdr:colOff>
      <xdr:row>16</xdr:row>
      <xdr:rowOff>133914</xdr:rowOff>
    </xdr:from>
    <xdr:to>
      <xdr:col>21</xdr:col>
      <xdr:colOff>498021</xdr:colOff>
      <xdr:row>17</xdr:row>
      <xdr:rowOff>139700</xdr:rowOff>
    </xdr:to>
    <xdr:cxnSp macro="">
      <xdr:nvCxnSpPr>
        <xdr:cNvPr id="26" name="Straight Arrow Connector 5">
          <a:extLst>
            <a:ext uri="{FF2B5EF4-FFF2-40B4-BE49-F238E27FC236}">
              <a16:creationId xmlns:a16="http://schemas.microsoft.com/office/drawing/2014/main" id="{40CDBF46-0641-48BB-AAE7-FD8653CBB6E4}"/>
            </a:ext>
          </a:extLst>
        </xdr:cNvPr>
        <xdr:cNvCxnSpPr>
          <a:cxnSpLocks/>
          <a:stCxn id="25" idx="2"/>
        </xdr:cNvCxnSpPr>
      </xdr:nvCxnSpPr>
      <xdr:spPr>
        <a:xfrm>
          <a:off x="22435694" y="4284093"/>
          <a:ext cx="1371363" cy="18267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905782</xdr:colOff>
      <xdr:row>8</xdr:row>
      <xdr:rowOff>2722</xdr:rowOff>
    </xdr:from>
    <xdr:to>
      <xdr:col>20</xdr:col>
      <xdr:colOff>578303</xdr:colOff>
      <xdr:row>11</xdr:row>
      <xdr:rowOff>87196</xdr:rowOff>
    </xdr:to>
    <xdr:sp macro="" textlink="">
      <xdr:nvSpPr>
        <xdr:cNvPr id="14" name="TextBox 13">
          <a:extLst>
            <a:ext uri="{FF2B5EF4-FFF2-40B4-BE49-F238E27FC236}">
              <a16:creationId xmlns:a16="http://schemas.microsoft.com/office/drawing/2014/main" id="{077697DC-FA96-4C2C-8DB9-D7FF579A1B81}"/>
            </a:ext>
          </a:extLst>
        </xdr:cNvPr>
        <xdr:cNvSpPr txBox="1"/>
      </xdr:nvSpPr>
      <xdr:spPr>
        <a:xfrm>
          <a:off x="19269982" y="2536372"/>
          <a:ext cx="2606221" cy="6559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step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1102180</xdr:colOff>
      <xdr:row>13</xdr:row>
      <xdr:rowOff>27215</xdr:rowOff>
    </xdr:from>
    <xdr:to>
      <xdr:col>21</xdr:col>
      <xdr:colOff>1195632</xdr:colOff>
      <xdr:row>16</xdr:row>
      <xdr:rowOff>133914</xdr:rowOff>
    </xdr:to>
    <xdr:sp macro="" textlink="">
      <xdr:nvSpPr>
        <xdr:cNvPr id="25" name="TextBox 27">
          <a:extLst>
            <a:ext uri="{FF2B5EF4-FFF2-40B4-BE49-F238E27FC236}">
              <a16:creationId xmlns:a16="http://schemas.microsoft.com/office/drawing/2014/main" id="{A083720C-4CD4-473F-9D2A-75E216BDC16D}"/>
            </a:ext>
          </a:extLst>
        </xdr:cNvPr>
        <xdr:cNvSpPr txBox="1"/>
      </xdr:nvSpPr>
      <xdr:spPr>
        <a:xfrm>
          <a:off x="20369894" y="3646715"/>
          <a:ext cx="4134774"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5</xdr:col>
      <xdr:colOff>736598</xdr:colOff>
      <xdr:row>92</xdr:row>
      <xdr:rowOff>146048</xdr:rowOff>
    </xdr:from>
    <xdr:to>
      <xdr:col>8</xdr:col>
      <xdr:colOff>304800</xdr:colOff>
      <xdr:row>96</xdr:row>
      <xdr:rowOff>133349</xdr:rowOff>
    </xdr:to>
    <xdr:sp macro="" textlink="">
      <xdr:nvSpPr>
        <xdr:cNvPr id="3" name="TextBox 7">
          <a:extLst>
            <a:ext uri="{FF2B5EF4-FFF2-40B4-BE49-F238E27FC236}">
              <a16:creationId xmlns:a16="http://schemas.microsoft.com/office/drawing/2014/main" id="{DE24BE6D-F332-46F4-A0E1-BA8D271125FC}"/>
            </a:ext>
          </a:extLst>
        </xdr:cNvPr>
        <xdr:cNvSpPr txBox="1"/>
      </xdr:nvSpPr>
      <xdr:spPr>
        <a:xfrm>
          <a:off x="7337423" y="21948773"/>
          <a:ext cx="3349627" cy="711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a:t>
          </a:r>
          <a:r>
            <a:rPr lang="en-GB" sz="1100" baseline="0">
              <a:solidFill>
                <a:schemeClr val="dk1"/>
              </a:solidFill>
              <a:effectLst/>
              <a:latin typeface="+mn-lt"/>
              <a:ea typeface="+mn-ea"/>
              <a:cs typeface="+mn-cs"/>
            </a:rPr>
            <a:t> 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 capture rate and solid carbon conversion rate is linked to the response given in the Initial questions worksheet.</a:t>
          </a:r>
          <a:endParaRPr lang="en-GB">
            <a:effectLst/>
          </a:endParaRPr>
        </a:p>
      </xdr:txBody>
    </xdr:sp>
    <xdr:clientData/>
  </xdr:twoCellAnchor>
  <xdr:twoCellAnchor>
    <xdr:from>
      <xdr:col>5</xdr:col>
      <xdr:colOff>8891</xdr:colOff>
      <xdr:row>92</xdr:row>
      <xdr:rowOff>85090</xdr:rowOff>
    </xdr:from>
    <xdr:to>
      <xdr:col>5</xdr:col>
      <xdr:colOff>736598</xdr:colOff>
      <xdr:row>94</xdr:row>
      <xdr:rowOff>139699</xdr:rowOff>
    </xdr:to>
    <xdr:cxnSp macro="">
      <xdr:nvCxnSpPr>
        <xdr:cNvPr id="17" name="Straight Arrow Connector 5">
          <a:extLst>
            <a:ext uri="{FF2B5EF4-FFF2-40B4-BE49-F238E27FC236}">
              <a16:creationId xmlns:a16="http://schemas.microsoft.com/office/drawing/2014/main" id="{34FEACAC-2BD9-497B-9B07-AC04752E44E1}"/>
            </a:ext>
          </a:extLst>
        </xdr:cNvPr>
        <xdr:cNvCxnSpPr>
          <a:stCxn id="3" idx="1"/>
        </xdr:cNvCxnSpPr>
      </xdr:nvCxnSpPr>
      <xdr:spPr>
        <a:xfrm flipH="1" flipV="1">
          <a:off x="6609716" y="21887815"/>
          <a:ext cx="727707" cy="41655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xdr:row>
      <xdr:rowOff>0</xdr:rowOff>
    </xdr:from>
    <xdr:to>
      <xdr:col>2</xdr:col>
      <xdr:colOff>2371567</xdr:colOff>
      <xdr:row>4</xdr:row>
      <xdr:rowOff>828130</xdr:rowOff>
    </xdr:to>
    <xdr:sp macro="" textlink="">
      <xdr:nvSpPr>
        <xdr:cNvPr id="18" name="TextBox 17">
          <a:extLst>
            <a:ext uri="{FF2B5EF4-FFF2-40B4-BE49-F238E27FC236}">
              <a16:creationId xmlns:a16="http://schemas.microsoft.com/office/drawing/2014/main" id="{27866ABC-5191-4768-AC30-3784BEA113A4}"/>
            </a:ext>
          </a:extLst>
        </xdr:cNvPr>
        <xdr:cNvSpPr txBox="1"/>
      </xdr:nvSpPr>
      <xdr:spPr>
        <a:xfrm>
          <a:off x="286871" y="99508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13</xdr:col>
      <xdr:colOff>945004</xdr:colOff>
      <xdr:row>8</xdr:row>
      <xdr:rowOff>101843</xdr:rowOff>
    </xdr:from>
    <xdr:to>
      <xdr:col>14</xdr:col>
      <xdr:colOff>219075</xdr:colOff>
      <xdr:row>8</xdr:row>
      <xdr:rowOff>104775</xdr:rowOff>
    </xdr:to>
    <xdr:cxnSp macro="">
      <xdr:nvCxnSpPr>
        <xdr:cNvPr id="28" name="Straight Arrow Connector 3">
          <a:extLst>
            <a:ext uri="{FF2B5EF4-FFF2-40B4-BE49-F238E27FC236}">
              <a16:creationId xmlns:a16="http://schemas.microsoft.com/office/drawing/2014/main" id="{780B7C80-EF92-41E2-9FDB-E51DEE210B02}"/>
            </a:ext>
          </a:extLst>
        </xdr:cNvPr>
        <xdr:cNvCxnSpPr/>
      </xdr:nvCxnSpPr>
      <xdr:spPr>
        <a:xfrm>
          <a:off x="16181829" y="2895843"/>
          <a:ext cx="274196"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990600</xdr:colOff>
      <xdr:row>8</xdr:row>
      <xdr:rowOff>105018</xdr:rowOff>
    </xdr:from>
    <xdr:to>
      <xdr:col>14</xdr:col>
      <xdr:colOff>215900</xdr:colOff>
      <xdr:row>8</xdr:row>
      <xdr:rowOff>114300</xdr:rowOff>
    </xdr:to>
    <xdr:cxnSp macro="">
      <xdr:nvCxnSpPr>
        <xdr:cNvPr id="29" name="Straight Arrow Connector 3">
          <a:extLst>
            <a:ext uri="{FF2B5EF4-FFF2-40B4-BE49-F238E27FC236}">
              <a16:creationId xmlns:a16="http://schemas.microsoft.com/office/drawing/2014/main" id="{65A33E3B-200A-4BF1-BB02-91BF039ABD4A}"/>
            </a:ext>
          </a:extLst>
        </xdr:cNvPr>
        <xdr:cNvCxnSpPr/>
      </xdr:nvCxnSpPr>
      <xdr:spPr>
        <a:xfrm flipV="1">
          <a:off x="16230600" y="2892668"/>
          <a:ext cx="228600" cy="12457"/>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945004</xdr:colOff>
      <xdr:row>8</xdr:row>
      <xdr:rowOff>101843</xdr:rowOff>
    </xdr:from>
    <xdr:to>
      <xdr:col>14</xdr:col>
      <xdr:colOff>219075</xdr:colOff>
      <xdr:row>8</xdr:row>
      <xdr:rowOff>104775</xdr:rowOff>
    </xdr:to>
    <xdr:cxnSp macro="">
      <xdr:nvCxnSpPr>
        <xdr:cNvPr id="36" name="Straight Arrow Connector 3">
          <a:extLst>
            <a:ext uri="{FF2B5EF4-FFF2-40B4-BE49-F238E27FC236}">
              <a16:creationId xmlns:a16="http://schemas.microsoft.com/office/drawing/2014/main" id="{92B34E26-E8CE-4317-BDB2-8AC2E3764AA9}"/>
            </a:ext>
          </a:extLst>
        </xdr:cNvPr>
        <xdr:cNvCxnSpPr/>
      </xdr:nvCxnSpPr>
      <xdr:spPr>
        <a:xfrm>
          <a:off x="16181829" y="2895843"/>
          <a:ext cx="274196"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12674</xdr:colOff>
      <xdr:row>7</xdr:row>
      <xdr:rowOff>123826</xdr:rowOff>
    </xdr:from>
    <xdr:to>
      <xdr:col>14</xdr:col>
      <xdr:colOff>228600</xdr:colOff>
      <xdr:row>8</xdr:row>
      <xdr:rowOff>9525</xdr:rowOff>
    </xdr:to>
    <xdr:cxnSp macro="">
      <xdr:nvCxnSpPr>
        <xdr:cNvPr id="37" name="Straight Arrow Connector 2">
          <a:extLst>
            <a:ext uri="{FF2B5EF4-FFF2-40B4-BE49-F238E27FC236}">
              <a16:creationId xmlns:a16="http://schemas.microsoft.com/office/drawing/2014/main" id="{4B40E582-D9D2-4836-8440-F87F078E6B72}"/>
            </a:ext>
          </a:extLst>
        </xdr:cNvPr>
        <xdr:cNvCxnSpPr/>
      </xdr:nvCxnSpPr>
      <xdr:spPr>
        <a:xfrm>
          <a:off x="16249624" y="2730501"/>
          <a:ext cx="219101" cy="66674"/>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990600</xdr:colOff>
      <xdr:row>8</xdr:row>
      <xdr:rowOff>105018</xdr:rowOff>
    </xdr:from>
    <xdr:to>
      <xdr:col>14</xdr:col>
      <xdr:colOff>215900</xdr:colOff>
      <xdr:row>8</xdr:row>
      <xdr:rowOff>114300</xdr:rowOff>
    </xdr:to>
    <xdr:cxnSp macro="">
      <xdr:nvCxnSpPr>
        <xdr:cNvPr id="38" name="Straight Arrow Connector 3">
          <a:extLst>
            <a:ext uri="{FF2B5EF4-FFF2-40B4-BE49-F238E27FC236}">
              <a16:creationId xmlns:a16="http://schemas.microsoft.com/office/drawing/2014/main" id="{656E600E-4237-4A72-A1A4-D34860FE3794}"/>
            </a:ext>
          </a:extLst>
        </xdr:cNvPr>
        <xdr:cNvCxnSpPr/>
      </xdr:nvCxnSpPr>
      <xdr:spPr>
        <a:xfrm flipV="1">
          <a:off x="16230600" y="2892668"/>
          <a:ext cx="228600" cy="12457"/>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825500</xdr:colOff>
      <xdr:row>9</xdr:row>
      <xdr:rowOff>0</xdr:rowOff>
    </xdr:from>
    <xdr:to>
      <xdr:col>14</xdr:col>
      <xdr:colOff>1000125</xdr:colOff>
      <xdr:row>13</xdr:row>
      <xdr:rowOff>171450</xdr:rowOff>
    </xdr:to>
    <xdr:cxnSp macro="">
      <xdr:nvCxnSpPr>
        <xdr:cNvPr id="39" name="Straight Arrow Connector 20">
          <a:extLst>
            <a:ext uri="{FF2B5EF4-FFF2-40B4-BE49-F238E27FC236}">
              <a16:creationId xmlns:a16="http://schemas.microsoft.com/office/drawing/2014/main" id="{A728E721-F4D2-49BD-9415-F3923153DA14}"/>
            </a:ext>
          </a:extLst>
        </xdr:cNvPr>
        <xdr:cNvCxnSpPr>
          <a:cxnSpLocks/>
        </xdr:cNvCxnSpPr>
      </xdr:nvCxnSpPr>
      <xdr:spPr>
        <a:xfrm flipH="1" flipV="1">
          <a:off x="17065625" y="2971800"/>
          <a:ext cx="174625" cy="8953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501650</xdr:colOff>
      <xdr:row>2</xdr:row>
      <xdr:rowOff>125413</xdr:rowOff>
    </xdr:from>
    <xdr:to>
      <xdr:col>16</xdr:col>
      <xdr:colOff>501650</xdr:colOff>
      <xdr:row>4</xdr:row>
      <xdr:rowOff>369888</xdr:rowOff>
    </xdr:to>
    <xdr:cxnSp macro="">
      <xdr:nvCxnSpPr>
        <xdr:cNvPr id="49" name="Straight Arrow Connector 20">
          <a:extLst>
            <a:ext uri="{FF2B5EF4-FFF2-40B4-BE49-F238E27FC236}">
              <a16:creationId xmlns:a16="http://schemas.microsoft.com/office/drawing/2014/main" id="{0098ECBD-3FE0-4CAD-A822-7AA846B8889B}"/>
            </a:ext>
          </a:extLst>
        </xdr:cNvPr>
        <xdr:cNvCxnSpPr>
          <a:cxnSpLocks/>
        </xdr:cNvCxnSpPr>
      </xdr:nvCxnSpPr>
      <xdr:spPr>
        <a:xfrm>
          <a:off x="17970500" y="782638"/>
          <a:ext cx="0" cy="6254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46845</xdr:colOff>
      <xdr:row>12</xdr:row>
      <xdr:rowOff>62724</xdr:rowOff>
    </xdr:from>
    <xdr:to>
      <xdr:col>30</xdr:col>
      <xdr:colOff>297531</xdr:colOff>
      <xdr:row>32</xdr:row>
      <xdr:rowOff>84689</xdr:rowOff>
    </xdr:to>
    <xdr:pic>
      <xdr:nvPicPr>
        <xdr:cNvPr id="22" name="Picture 21">
          <a:extLst>
            <a:ext uri="{FF2B5EF4-FFF2-40B4-BE49-F238E27FC236}">
              <a16:creationId xmlns:a16="http://schemas.microsoft.com/office/drawing/2014/main" id="{5195A7DC-1A1E-7774-CAE4-988528055319}"/>
            </a:ext>
          </a:extLst>
        </xdr:cNvPr>
        <xdr:cNvPicPr>
          <a:picLocks noChangeAspect="1"/>
        </xdr:cNvPicPr>
      </xdr:nvPicPr>
      <xdr:blipFill>
        <a:blip xmlns:r="http://schemas.openxmlformats.org/officeDocument/2006/relationships" r:embed="rId1"/>
        <a:stretch>
          <a:fillRect/>
        </a:stretch>
      </xdr:blipFill>
      <xdr:spPr>
        <a:xfrm>
          <a:off x="655820" y="2326863"/>
          <a:ext cx="17985872" cy="3766331"/>
        </a:xfrm>
        <a:prstGeom prst="rect">
          <a:avLst/>
        </a:prstGeom>
      </xdr:spPr>
    </xdr:pic>
    <xdr:clientData/>
  </xdr:twoCellAnchor>
  <xdr:twoCellAnchor>
    <xdr:from>
      <xdr:col>1</xdr:col>
      <xdr:colOff>146047</xdr:colOff>
      <xdr:row>119</xdr:row>
      <xdr:rowOff>30442</xdr:rowOff>
    </xdr:from>
    <xdr:to>
      <xdr:col>9</xdr:col>
      <xdr:colOff>60139</xdr:colOff>
      <xdr:row>121</xdr:row>
      <xdr:rowOff>168088</xdr:rowOff>
    </xdr:to>
    <xdr:grpSp>
      <xdr:nvGrpSpPr>
        <xdr:cNvPr id="85" name="Group 84">
          <a:extLst>
            <a:ext uri="{FF2B5EF4-FFF2-40B4-BE49-F238E27FC236}">
              <a16:creationId xmlns:a16="http://schemas.microsoft.com/office/drawing/2014/main" id="{80D749D7-28BC-403D-9B65-3C6189A0818C}"/>
            </a:ext>
          </a:extLst>
        </xdr:cNvPr>
        <xdr:cNvGrpSpPr/>
      </xdr:nvGrpSpPr>
      <xdr:grpSpPr>
        <a:xfrm>
          <a:off x="752472" y="22020492"/>
          <a:ext cx="4870267" cy="499596"/>
          <a:chOff x="6911135" y="819048"/>
          <a:chExt cx="4802736" cy="488537"/>
        </a:xfrm>
      </xdr:grpSpPr>
      <xdr:sp macro="" textlink="">
        <xdr:nvSpPr>
          <xdr:cNvPr id="86" name="Rectangle 85">
            <a:extLst>
              <a:ext uri="{FF2B5EF4-FFF2-40B4-BE49-F238E27FC236}">
                <a16:creationId xmlns:a16="http://schemas.microsoft.com/office/drawing/2014/main" id="{738766CB-BDA8-4EB3-8431-5664C5A59499}"/>
              </a:ext>
            </a:extLst>
          </xdr:cNvPr>
          <xdr:cNvSpPr/>
        </xdr:nvSpPr>
        <xdr:spPr>
          <a:xfrm>
            <a:off x="10259095" y="828243"/>
            <a:ext cx="1454776" cy="45431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backward efficiency</a:t>
            </a:r>
          </a:p>
        </xdr:txBody>
      </xdr:sp>
      <xdr:sp macro="" textlink="">
        <xdr:nvSpPr>
          <xdr:cNvPr id="87" name="Rectangle 86">
            <a:extLst>
              <a:ext uri="{FF2B5EF4-FFF2-40B4-BE49-F238E27FC236}">
                <a16:creationId xmlns:a16="http://schemas.microsoft.com/office/drawing/2014/main" id="{A4D2DD89-40E5-4A6F-8C1A-A7F12E48B3F0}"/>
              </a:ext>
            </a:extLst>
          </xdr:cNvPr>
          <xdr:cNvSpPr/>
        </xdr:nvSpPr>
        <xdr:spPr>
          <a:xfrm>
            <a:off x="6911135" y="819048"/>
            <a:ext cx="1422192" cy="488537"/>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r>
              <a:rPr lang="en-GB" sz="1200" kern="1200">
                <a:solidFill>
                  <a:sysClr val="windowText" lastClr="000000"/>
                </a:solidFill>
                <a:effectLst/>
                <a:latin typeface="+mn-lt"/>
                <a:ea typeface="+mn-ea"/>
                <a:cs typeface="+mn-cs"/>
              </a:rPr>
              <a:t>gCO</a:t>
            </a:r>
            <a:r>
              <a:rPr lang="en-GB" sz="1200" kern="1200" baseline="-25000">
                <a:solidFill>
                  <a:sysClr val="windowText" lastClr="000000"/>
                </a:solidFill>
                <a:effectLst/>
                <a:latin typeface="+mn-lt"/>
                <a:ea typeface="+mn-ea"/>
                <a:cs typeface="+mn-cs"/>
              </a:rPr>
              <a:t>2</a:t>
            </a:r>
            <a:r>
              <a:rPr lang="en-GB" sz="1200" kern="1200">
                <a:solidFill>
                  <a:sysClr val="windowText" lastClr="000000"/>
                </a:solidFill>
                <a:effectLst/>
                <a:latin typeface="+mn-lt"/>
                <a:ea typeface="+mn-ea"/>
                <a:cs typeface="+mn-cs"/>
              </a:rPr>
              <a:t>e/MJ final H</a:t>
            </a:r>
            <a:r>
              <a:rPr lang="en-GB" sz="1200" kern="1200" baseline="-25000">
                <a:solidFill>
                  <a:sysClr val="windowText" lastClr="000000"/>
                </a:solidFill>
                <a:effectLst/>
                <a:latin typeface="+mn-lt"/>
                <a:ea typeface="+mn-ea"/>
                <a:cs typeface="+mn-cs"/>
              </a:rPr>
              <a:t>2 </a:t>
            </a:r>
            <a:r>
              <a:rPr lang="en-GB" sz="1200" kern="1200" baseline="0">
                <a:solidFill>
                  <a:sysClr val="windowText" lastClr="000000"/>
                </a:solidFill>
                <a:effectLst/>
                <a:latin typeface="+mn-lt"/>
                <a:ea typeface="+mn-ea"/>
                <a:cs typeface="+mn-cs"/>
              </a:rPr>
              <a:t>(without allocation)</a:t>
            </a:r>
            <a:endParaRPr lang="en-GB" sz="1200">
              <a:solidFill>
                <a:sysClr val="windowText" lastClr="000000"/>
              </a:solidFill>
              <a:effectLst/>
            </a:endParaRPr>
          </a:p>
        </xdr:txBody>
      </xdr:sp>
      <xdr:sp macro="" textlink="">
        <xdr:nvSpPr>
          <xdr:cNvPr id="88" name="Rectangle 87">
            <a:extLst>
              <a:ext uri="{FF2B5EF4-FFF2-40B4-BE49-F238E27FC236}">
                <a16:creationId xmlns:a16="http://schemas.microsoft.com/office/drawing/2014/main" id="{38EB6940-FE8C-4DA9-87BB-29B198E26A11}"/>
              </a:ext>
            </a:extLst>
          </xdr:cNvPr>
          <xdr:cNvSpPr/>
        </xdr:nvSpPr>
        <xdr:spPr>
          <a:xfrm>
            <a:off x="8595377" y="822322"/>
            <a:ext cx="1389532" cy="463552"/>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r>
              <a:rPr lang="en-GB" sz="1200" kern="1200">
                <a:solidFill>
                  <a:sysClr val="windowText" lastClr="000000"/>
                </a:solidFill>
                <a:effectLst/>
                <a:latin typeface="+mn-lt"/>
                <a:ea typeface="+mn-ea"/>
                <a:cs typeface="+mn-cs"/>
              </a:rPr>
              <a:t>gCO</a:t>
            </a:r>
            <a:r>
              <a:rPr lang="en-GB" sz="1200" kern="1200" baseline="-25000">
                <a:solidFill>
                  <a:sysClr val="windowText" lastClr="000000"/>
                </a:solidFill>
                <a:effectLst/>
                <a:latin typeface="+mn-lt"/>
                <a:ea typeface="+mn-ea"/>
                <a:cs typeface="+mn-cs"/>
              </a:rPr>
              <a:t>2</a:t>
            </a:r>
            <a:r>
              <a:rPr lang="en-GB" sz="1200" kern="1200">
                <a:solidFill>
                  <a:sysClr val="windowText" lastClr="000000"/>
                </a:solidFill>
                <a:effectLst/>
                <a:latin typeface="+mn-lt"/>
                <a:ea typeface="+mn-ea"/>
                <a:cs typeface="+mn-cs"/>
              </a:rPr>
              <a:t>e/</a:t>
            </a:r>
            <a:r>
              <a:rPr lang="en-GB" sz="1200" kern="1200">
                <a:solidFill>
                  <a:sysClr val="windowText" lastClr="000000"/>
                </a:solidFill>
                <a:latin typeface="+mn-lt"/>
                <a:ea typeface="+mn-ea"/>
                <a:cs typeface="+mn-cs"/>
              </a:rPr>
              <a:t>MJ</a:t>
            </a:r>
            <a:r>
              <a:rPr lang="en-GB" sz="1200" kern="1200">
                <a:solidFill>
                  <a:sysClr val="windowText" lastClr="000000"/>
                </a:solidFill>
                <a:effectLst/>
                <a:latin typeface="+mn-lt"/>
                <a:ea typeface="+mn-ea"/>
                <a:cs typeface="+mn-cs"/>
              </a:rPr>
              <a:t> module main output</a:t>
            </a:r>
            <a:endParaRPr lang="en-GB" sz="1200">
              <a:solidFill>
                <a:sysClr val="windowText" lastClr="000000"/>
              </a:solidFill>
              <a:effectLst/>
            </a:endParaRPr>
          </a:p>
        </xdr:txBody>
      </xdr:sp>
      <xdr:sp macro="" textlink="">
        <xdr:nvSpPr>
          <xdr:cNvPr id="89" name="Rectangle 88">
            <a:extLst>
              <a:ext uri="{FF2B5EF4-FFF2-40B4-BE49-F238E27FC236}">
                <a16:creationId xmlns:a16="http://schemas.microsoft.com/office/drawing/2014/main" id="{C368C511-2A64-4AA5-AC05-05B30B9F3B84}"/>
              </a:ext>
            </a:extLst>
          </xdr:cNvPr>
          <xdr:cNvSpPr/>
        </xdr:nvSpPr>
        <xdr:spPr>
          <a:xfrm>
            <a:off x="9945261" y="898610"/>
            <a:ext cx="328917" cy="2063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90" name="Rectangle 89">
            <a:extLst>
              <a:ext uri="{FF2B5EF4-FFF2-40B4-BE49-F238E27FC236}">
                <a16:creationId xmlns:a16="http://schemas.microsoft.com/office/drawing/2014/main" id="{6A4F1022-31A3-4976-8A10-B1F77AEAA7E9}"/>
              </a:ext>
            </a:extLst>
          </xdr:cNvPr>
          <xdr:cNvSpPr/>
        </xdr:nvSpPr>
        <xdr:spPr>
          <a:xfrm>
            <a:off x="8360520" y="949325"/>
            <a:ext cx="24765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grpSp>
    <xdr:clientData/>
  </xdr:twoCellAnchor>
  <xdr:twoCellAnchor>
    <xdr:from>
      <xdr:col>3</xdr:col>
      <xdr:colOff>76199</xdr:colOff>
      <xdr:row>124</xdr:row>
      <xdr:rowOff>104775</xdr:rowOff>
    </xdr:from>
    <xdr:to>
      <xdr:col>7</xdr:col>
      <xdr:colOff>161924</xdr:colOff>
      <xdr:row>128</xdr:row>
      <xdr:rowOff>15875</xdr:rowOff>
    </xdr:to>
    <xdr:sp macro="" textlink="">
      <xdr:nvSpPr>
        <xdr:cNvPr id="93" name="TextBox 92">
          <a:extLst>
            <a:ext uri="{FF2B5EF4-FFF2-40B4-BE49-F238E27FC236}">
              <a16:creationId xmlns:a16="http://schemas.microsoft.com/office/drawing/2014/main" id="{CBB3328D-4BA4-4076-A9F8-27F68F203880}"/>
            </a:ext>
          </a:extLst>
        </xdr:cNvPr>
        <xdr:cNvSpPr txBox="1"/>
      </xdr:nvSpPr>
      <xdr:spPr>
        <a:xfrm>
          <a:off x="1904999" y="22821900"/>
          <a:ext cx="2524125" cy="6350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Values</a:t>
          </a:r>
          <a:r>
            <a:rPr lang="en-GB" sz="1100" baseline="0"/>
            <a:t> are linked to the GHG emissions result calculated in the individual supply chain module worksheets</a:t>
          </a:r>
          <a:endParaRPr lang="en-GB" sz="1100"/>
        </a:p>
      </xdr:txBody>
    </xdr:sp>
    <xdr:clientData/>
  </xdr:twoCellAnchor>
  <xdr:twoCellAnchor>
    <xdr:from>
      <xdr:col>5</xdr:col>
      <xdr:colOff>85706</xdr:colOff>
      <xdr:row>121</xdr:row>
      <xdr:rowOff>146035</xdr:rowOff>
    </xdr:from>
    <xdr:to>
      <xdr:col>5</xdr:col>
      <xdr:colOff>120650</xdr:colOff>
      <xdr:row>124</xdr:row>
      <xdr:rowOff>101600</xdr:rowOff>
    </xdr:to>
    <xdr:cxnSp macro="">
      <xdr:nvCxnSpPr>
        <xdr:cNvPr id="94" name="Straight Arrow Connector 93">
          <a:extLst>
            <a:ext uri="{FF2B5EF4-FFF2-40B4-BE49-F238E27FC236}">
              <a16:creationId xmlns:a16="http://schemas.microsoft.com/office/drawing/2014/main" id="{CB8A143A-BBE6-4245-91A5-5CEB64CCC1CF}"/>
            </a:ext>
          </a:extLst>
        </xdr:cNvPr>
        <xdr:cNvCxnSpPr>
          <a:cxnSpLocks/>
          <a:stCxn id="93" idx="0"/>
          <a:endCxn id="88" idx="2"/>
        </xdr:cNvCxnSpPr>
      </xdr:nvCxnSpPr>
      <xdr:spPr>
        <a:xfrm flipH="1" flipV="1">
          <a:off x="3111294" y="22143182"/>
          <a:ext cx="34944" cy="4934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581020</xdr:colOff>
      <xdr:row>149</xdr:row>
      <xdr:rowOff>160058</xdr:rowOff>
    </xdr:from>
    <xdr:to>
      <xdr:col>8</xdr:col>
      <xdr:colOff>582701</xdr:colOff>
      <xdr:row>152</xdr:row>
      <xdr:rowOff>91670</xdr:rowOff>
    </xdr:to>
    <xdr:grpSp>
      <xdr:nvGrpSpPr>
        <xdr:cNvPr id="99" name="Group 98">
          <a:extLst>
            <a:ext uri="{FF2B5EF4-FFF2-40B4-BE49-F238E27FC236}">
              <a16:creationId xmlns:a16="http://schemas.microsoft.com/office/drawing/2014/main" id="{2BE2ADC2-5D68-4BB1-AB52-1903869FBAB4}"/>
            </a:ext>
          </a:extLst>
        </xdr:cNvPr>
        <xdr:cNvGrpSpPr/>
      </xdr:nvGrpSpPr>
      <xdr:grpSpPr>
        <a:xfrm>
          <a:off x="584195" y="27633333"/>
          <a:ext cx="4948331" cy="468187"/>
          <a:chOff x="7041102" y="817224"/>
          <a:chExt cx="4890406" cy="476511"/>
        </a:xfrm>
      </xdr:grpSpPr>
      <xdr:sp macro="" textlink="">
        <xdr:nvSpPr>
          <xdr:cNvPr id="100" name="Rectangle 99">
            <a:extLst>
              <a:ext uri="{FF2B5EF4-FFF2-40B4-BE49-F238E27FC236}">
                <a16:creationId xmlns:a16="http://schemas.microsoft.com/office/drawing/2014/main" id="{84036F82-D86A-4CB8-A588-F2DCE4C13C07}"/>
              </a:ext>
            </a:extLst>
          </xdr:cNvPr>
          <xdr:cNvSpPr/>
        </xdr:nvSpPr>
        <xdr:spPr>
          <a:xfrm>
            <a:off x="10571911" y="839425"/>
            <a:ext cx="1359597" cy="45431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sp macro="" textlink="">
        <xdr:nvSpPr>
          <xdr:cNvPr id="101" name="Rectangle 100">
            <a:extLst>
              <a:ext uri="{FF2B5EF4-FFF2-40B4-BE49-F238E27FC236}">
                <a16:creationId xmlns:a16="http://schemas.microsoft.com/office/drawing/2014/main" id="{F1D6A5A1-B361-4EC3-8801-F28E4351A74C}"/>
              </a:ext>
            </a:extLst>
          </xdr:cNvPr>
          <xdr:cNvSpPr/>
        </xdr:nvSpPr>
        <xdr:spPr>
          <a:xfrm>
            <a:off x="7041102" y="817224"/>
            <a:ext cx="1354331" cy="463084"/>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r>
              <a:rPr lang="en-GB" sz="1200" kern="1200">
                <a:solidFill>
                  <a:sysClr val="windowText" lastClr="000000"/>
                </a:solidFill>
                <a:effectLst/>
                <a:latin typeface="+mn-lt"/>
                <a:ea typeface="+mn-ea"/>
                <a:cs typeface="+mn-cs"/>
              </a:rPr>
              <a:t>gCO</a:t>
            </a:r>
            <a:r>
              <a:rPr lang="en-GB" sz="1200" kern="1200" baseline="-25000">
                <a:solidFill>
                  <a:sysClr val="windowText" lastClr="000000"/>
                </a:solidFill>
                <a:effectLst/>
                <a:latin typeface="+mn-lt"/>
                <a:ea typeface="+mn-ea"/>
                <a:cs typeface="+mn-cs"/>
              </a:rPr>
              <a:t>2</a:t>
            </a:r>
            <a:r>
              <a:rPr lang="en-GB" sz="1200" kern="1200">
                <a:solidFill>
                  <a:sysClr val="windowText" lastClr="000000"/>
                </a:solidFill>
                <a:effectLst/>
                <a:latin typeface="+mn-lt"/>
                <a:ea typeface="+mn-ea"/>
                <a:cs typeface="+mn-cs"/>
              </a:rPr>
              <a:t>e/</a:t>
            </a:r>
            <a:r>
              <a:rPr lang="en-GB" sz="1200" kern="1200">
                <a:solidFill>
                  <a:sysClr val="windowText" lastClr="000000"/>
                </a:solidFill>
                <a:latin typeface="+mn-lt"/>
                <a:ea typeface="+mn-ea"/>
                <a:cs typeface="+mn-cs"/>
              </a:rPr>
              <a:t>MJ</a:t>
            </a:r>
            <a:r>
              <a:rPr lang="en-GB" sz="1200" kern="1200">
                <a:solidFill>
                  <a:sysClr val="windowText" lastClr="000000"/>
                </a:solidFill>
                <a:effectLst/>
                <a:latin typeface="+mn-lt"/>
                <a:ea typeface="+mn-ea"/>
                <a:cs typeface="+mn-cs"/>
              </a:rPr>
              <a:t> final H</a:t>
            </a:r>
            <a:r>
              <a:rPr lang="en-GB" sz="1200" kern="1200" baseline="-25000">
                <a:solidFill>
                  <a:sysClr val="windowText" lastClr="000000"/>
                </a:solidFill>
                <a:effectLst/>
                <a:latin typeface="+mn-lt"/>
                <a:ea typeface="+mn-ea"/>
                <a:cs typeface="+mn-cs"/>
              </a:rPr>
              <a:t>2 </a:t>
            </a:r>
            <a:r>
              <a:rPr lang="en-GB" sz="1200" kern="1200" baseline="0">
                <a:solidFill>
                  <a:sysClr val="windowText" lastClr="000000"/>
                </a:solidFill>
                <a:effectLst/>
                <a:latin typeface="+mn-lt"/>
                <a:ea typeface="+mn-ea"/>
                <a:cs typeface="+mn-cs"/>
              </a:rPr>
              <a:t>(with allocation)</a:t>
            </a:r>
            <a:endParaRPr lang="en-GB" sz="1200" baseline="0">
              <a:solidFill>
                <a:sysClr val="windowText" lastClr="000000"/>
              </a:solidFill>
              <a:effectLst/>
            </a:endParaRPr>
          </a:p>
        </xdr:txBody>
      </xdr:sp>
      <xdr:sp macro="" textlink="">
        <xdr:nvSpPr>
          <xdr:cNvPr id="102" name="Rectangle 101">
            <a:extLst>
              <a:ext uri="{FF2B5EF4-FFF2-40B4-BE49-F238E27FC236}">
                <a16:creationId xmlns:a16="http://schemas.microsoft.com/office/drawing/2014/main" id="{9F5737AD-A21C-4BE7-B7F3-5C13130F1AA3}"/>
              </a:ext>
            </a:extLst>
          </xdr:cNvPr>
          <xdr:cNvSpPr/>
        </xdr:nvSpPr>
        <xdr:spPr>
          <a:xfrm>
            <a:off x="8777178" y="822322"/>
            <a:ext cx="1492926" cy="463552"/>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r>
              <a:rPr lang="en-GB" sz="1200" kern="1200">
                <a:solidFill>
                  <a:sysClr val="windowText" lastClr="000000"/>
                </a:solidFill>
                <a:effectLst/>
                <a:latin typeface="+mn-lt"/>
                <a:ea typeface="+mn-ea"/>
                <a:cs typeface="+mn-cs"/>
              </a:rPr>
              <a:t>gCO</a:t>
            </a:r>
            <a:r>
              <a:rPr lang="en-GB" sz="1200" kern="1200" baseline="-25000">
                <a:solidFill>
                  <a:sysClr val="windowText" lastClr="000000"/>
                </a:solidFill>
                <a:effectLst/>
                <a:latin typeface="+mn-lt"/>
                <a:ea typeface="+mn-ea"/>
                <a:cs typeface="+mn-cs"/>
              </a:rPr>
              <a:t>2</a:t>
            </a:r>
            <a:r>
              <a:rPr lang="en-GB" sz="1200" kern="1200">
                <a:solidFill>
                  <a:sysClr val="windowText" lastClr="000000"/>
                </a:solidFill>
                <a:effectLst/>
                <a:latin typeface="+mn-lt"/>
                <a:ea typeface="+mn-ea"/>
                <a:cs typeface="+mn-cs"/>
              </a:rPr>
              <a:t>e/MJ final H</a:t>
            </a:r>
            <a:r>
              <a:rPr lang="en-GB" sz="1200" kern="1200" baseline="-25000">
                <a:solidFill>
                  <a:sysClr val="windowText" lastClr="000000"/>
                </a:solidFill>
                <a:effectLst/>
                <a:latin typeface="+mn-lt"/>
                <a:ea typeface="+mn-ea"/>
                <a:cs typeface="+mn-cs"/>
              </a:rPr>
              <a:t>2 </a:t>
            </a:r>
            <a:r>
              <a:rPr lang="en-GB" sz="1200" kern="1200" baseline="0">
                <a:solidFill>
                  <a:sysClr val="windowText" lastClr="000000"/>
                </a:solidFill>
                <a:effectLst/>
                <a:latin typeface="+mn-lt"/>
                <a:ea typeface="+mn-ea"/>
                <a:cs typeface="+mn-cs"/>
              </a:rPr>
              <a:t>(without allocation)</a:t>
            </a:r>
            <a:endParaRPr lang="en-GB" sz="1200">
              <a:solidFill>
                <a:sysClr val="windowText" lastClr="000000"/>
              </a:solidFill>
              <a:effectLst/>
            </a:endParaRPr>
          </a:p>
        </xdr:txBody>
      </xdr:sp>
      <xdr:sp macro="" textlink="">
        <xdr:nvSpPr>
          <xdr:cNvPr id="103" name="Rectangle 102">
            <a:extLst>
              <a:ext uri="{FF2B5EF4-FFF2-40B4-BE49-F238E27FC236}">
                <a16:creationId xmlns:a16="http://schemas.microsoft.com/office/drawing/2014/main" id="{0A9126BC-195A-4A57-8DA1-9C76628B40B0}"/>
              </a:ext>
            </a:extLst>
          </xdr:cNvPr>
          <xdr:cNvSpPr/>
        </xdr:nvSpPr>
        <xdr:spPr>
          <a:xfrm>
            <a:off x="10252672" y="898610"/>
            <a:ext cx="328917" cy="2063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104" name="Rectangle 103">
            <a:extLst>
              <a:ext uri="{FF2B5EF4-FFF2-40B4-BE49-F238E27FC236}">
                <a16:creationId xmlns:a16="http://schemas.microsoft.com/office/drawing/2014/main" id="{ED39139F-8E02-42C7-863A-63621D81F120}"/>
              </a:ext>
            </a:extLst>
          </xdr:cNvPr>
          <xdr:cNvSpPr/>
        </xdr:nvSpPr>
        <xdr:spPr>
          <a:xfrm>
            <a:off x="8485466" y="949325"/>
            <a:ext cx="24765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grpSp>
    <xdr:clientData/>
  </xdr:twoCellAnchor>
  <xdr:twoCellAnchor>
    <xdr:from>
      <xdr:col>4</xdr:col>
      <xdr:colOff>162482</xdr:colOff>
      <xdr:row>90</xdr:row>
      <xdr:rowOff>1</xdr:rowOff>
    </xdr:from>
    <xdr:to>
      <xdr:col>6</xdr:col>
      <xdr:colOff>238682</xdr:colOff>
      <xdr:row>90</xdr:row>
      <xdr:rowOff>1</xdr:rowOff>
    </xdr:to>
    <xdr:cxnSp macro="">
      <xdr:nvCxnSpPr>
        <xdr:cNvPr id="106" name="Straight Arrow Connector 105">
          <a:extLst>
            <a:ext uri="{FF2B5EF4-FFF2-40B4-BE49-F238E27FC236}">
              <a16:creationId xmlns:a16="http://schemas.microsoft.com/office/drawing/2014/main" id="{7585C64B-4DE3-492A-9B6D-3894873D9E38}"/>
            </a:ext>
          </a:extLst>
        </xdr:cNvPr>
        <xdr:cNvCxnSpPr>
          <a:cxnSpLocks/>
        </xdr:cNvCxnSpPr>
      </xdr:nvCxnSpPr>
      <xdr:spPr>
        <a:xfrm>
          <a:off x="2582953" y="16383001"/>
          <a:ext cx="1286435"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353217</xdr:colOff>
      <xdr:row>89</xdr:row>
      <xdr:rowOff>6352</xdr:rowOff>
    </xdr:from>
    <xdr:to>
      <xdr:col>10</xdr:col>
      <xdr:colOff>64292</xdr:colOff>
      <xdr:row>90</xdr:row>
      <xdr:rowOff>111126</xdr:rowOff>
    </xdr:to>
    <xdr:sp macro="" textlink="">
      <xdr:nvSpPr>
        <xdr:cNvPr id="6435" name="TextBox 111">
          <a:extLst>
            <a:ext uri="{FF2B5EF4-FFF2-40B4-BE49-F238E27FC236}">
              <a16:creationId xmlns:a16="http://schemas.microsoft.com/office/drawing/2014/main" id="{198E1C61-F874-49C3-BABB-8FEB20AA1141}"/>
            </a:ext>
          </a:extLst>
        </xdr:cNvPr>
        <xdr:cNvSpPr txBox="1"/>
      </xdr:nvSpPr>
      <xdr:spPr>
        <a:xfrm>
          <a:off x="5839617" y="15798802"/>
          <a:ext cx="320675" cy="2857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or</a:t>
          </a:r>
        </a:p>
      </xdr:txBody>
    </xdr:sp>
    <xdr:clientData/>
  </xdr:twoCellAnchor>
  <xdr:twoCellAnchor>
    <xdr:from>
      <xdr:col>13</xdr:col>
      <xdr:colOff>134142</xdr:colOff>
      <xdr:row>90</xdr:row>
      <xdr:rowOff>1</xdr:rowOff>
    </xdr:from>
    <xdr:to>
      <xdr:col>15</xdr:col>
      <xdr:colOff>65085</xdr:colOff>
      <xdr:row>90</xdr:row>
      <xdr:rowOff>2</xdr:rowOff>
    </xdr:to>
    <xdr:cxnSp macro="">
      <xdr:nvCxnSpPr>
        <xdr:cNvPr id="6450" name="Straight Arrow Connector 112">
          <a:extLst>
            <a:ext uri="{FF2B5EF4-FFF2-40B4-BE49-F238E27FC236}">
              <a16:creationId xmlns:a16="http://schemas.microsoft.com/office/drawing/2014/main" id="{9A828ADB-E9C6-4244-8609-A21B627661EF}"/>
            </a:ext>
          </a:extLst>
        </xdr:cNvPr>
        <xdr:cNvCxnSpPr>
          <a:cxnSpLocks/>
        </xdr:cNvCxnSpPr>
      </xdr:nvCxnSpPr>
      <xdr:spPr>
        <a:xfrm flipV="1">
          <a:off x="8058942" y="15973426"/>
          <a:ext cx="1150143" cy="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104774</xdr:colOff>
      <xdr:row>36</xdr:row>
      <xdr:rowOff>88898</xdr:rowOff>
    </xdr:from>
    <xdr:to>
      <xdr:col>34</xdr:col>
      <xdr:colOff>257735</xdr:colOff>
      <xdr:row>58</xdr:row>
      <xdr:rowOff>121511</xdr:rowOff>
    </xdr:to>
    <xdr:grpSp>
      <xdr:nvGrpSpPr>
        <xdr:cNvPr id="118" name="Group 50">
          <a:extLst>
            <a:ext uri="{FF2B5EF4-FFF2-40B4-BE49-F238E27FC236}">
              <a16:creationId xmlns:a16="http://schemas.microsoft.com/office/drawing/2014/main" id="{FCC05BFA-7789-4FB7-BC60-873CC2EF20E0}"/>
            </a:ext>
          </a:extLst>
        </xdr:cNvPr>
        <xdr:cNvGrpSpPr/>
      </xdr:nvGrpSpPr>
      <xdr:grpSpPr>
        <a:xfrm>
          <a:off x="717549" y="6667498"/>
          <a:ext cx="20339611" cy="4020413"/>
          <a:chOff x="720724" y="6305526"/>
          <a:chExt cx="20258632" cy="4017258"/>
        </a:xfrm>
      </xdr:grpSpPr>
      <xdr:grpSp>
        <xdr:nvGrpSpPr>
          <xdr:cNvPr id="119" name="Group 1">
            <a:extLst>
              <a:ext uri="{FF2B5EF4-FFF2-40B4-BE49-F238E27FC236}">
                <a16:creationId xmlns:a16="http://schemas.microsoft.com/office/drawing/2014/main" id="{2AAF2D1C-9D81-4258-946C-E1904890CEB4}"/>
              </a:ext>
            </a:extLst>
          </xdr:cNvPr>
          <xdr:cNvGrpSpPr/>
        </xdr:nvGrpSpPr>
        <xdr:grpSpPr>
          <a:xfrm>
            <a:off x="720724" y="6305526"/>
            <a:ext cx="20258632" cy="4017258"/>
            <a:chOff x="2092203" y="524235"/>
            <a:chExt cx="20043611" cy="4218276"/>
          </a:xfrm>
        </xdr:grpSpPr>
        <xdr:sp macro="" textlink="">
          <xdr:nvSpPr>
            <xdr:cNvPr id="120" name="Rectangle 2">
              <a:extLst>
                <a:ext uri="{FF2B5EF4-FFF2-40B4-BE49-F238E27FC236}">
                  <a16:creationId xmlns:a16="http://schemas.microsoft.com/office/drawing/2014/main" id="{8105E3BD-1523-47D1-A412-56A268B147AD}"/>
                </a:ext>
              </a:extLst>
            </xdr:cNvPr>
            <xdr:cNvSpPr/>
          </xdr:nvSpPr>
          <xdr:spPr>
            <a:xfrm>
              <a:off x="7170757" y="524235"/>
              <a:ext cx="7591507" cy="555222"/>
            </a:xfrm>
            <a:prstGeom prst="rect">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400">
                  <a:solidFill>
                    <a:schemeClr val="tx1"/>
                  </a:solidFill>
                </a:rPr>
                <a:t>gCO</a:t>
              </a:r>
              <a:r>
                <a:rPr lang="en-GB" sz="1400" baseline="-25000">
                  <a:solidFill>
                    <a:schemeClr val="tx1"/>
                  </a:solidFill>
                </a:rPr>
                <a:t>2</a:t>
              </a:r>
              <a:r>
                <a:rPr lang="en-GB" sz="1400">
                  <a:solidFill>
                    <a:schemeClr val="tx1"/>
                  </a:solidFill>
                </a:rPr>
                <a:t>e/MJ final hydrogen</a:t>
              </a:r>
            </a:p>
          </xdr:txBody>
        </xdr:sp>
        <xdr:sp macro="" textlink="">
          <xdr:nvSpPr>
            <xdr:cNvPr id="121" name="Rectangle 3">
              <a:extLst>
                <a:ext uri="{FF2B5EF4-FFF2-40B4-BE49-F238E27FC236}">
                  <a16:creationId xmlns:a16="http://schemas.microsoft.com/office/drawing/2014/main" id="{D275D588-ADF4-42B1-BF7D-5E6FE4AB301E}"/>
                </a:ext>
              </a:extLst>
            </xdr:cNvPr>
            <xdr:cNvSpPr/>
          </xdr:nvSpPr>
          <xdr:spPr>
            <a:xfrm>
              <a:off x="4438418" y="1759786"/>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sp macro="" textlink="">
          <xdr:nvSpPr>
            <xdr:cNvPr id="122" name="Right Brace 4">
              <a:extLst>
                <a:ext uri="{FF2B5EF4-FFF2-40B4-BE49-F238E27FC236}">
                  <a16:creationId xmlns:a16="http://schemas.microsoft.com/office/drawing/2014/main" id="{DC0BFE3A-45C8-48BA-864E-D04E5DEC131A}"/>
                </a:ext>
              </a:extLst>
            </xdr:cNvPr>
            <xdr:cNvSpPr/>
          </xdr:nvSpPr>
          <xdr:spPr>
            <a:xfrm rot="16200000" flipV="1">
              <a:off x="11963145" y="-8707582"/>
              <a:ext cx="301728" cy="20043611"/>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nvGrpSpPr>
            <xdr:cNvPr id="123" name="Group 5">
              <a:extLst>
                <a:ext uri="{FF2B5EF4-FFF2-40B4-BE49-F238E27FC236}">
                  <a16:creationId xmlns:a16="http://schemas.microsoft.com/office/drawing/2014/main" id="{76ADDA6C-C01A-4E61-98D5-737C0755BA26}"/>
                </a:ext>
              </a:extLst>
            </xdr:cNvPr>
            <xdr:cNvGrpSpPr/>
          </xdr:nvGrpSpPr>
          <xdr:grpSpPr>
            <a:xfrm>
              <a:off x="2092205" y="1550418"/>
              <a:ext cx="2353004" cy="3192093"/>
              <a:chOff x="2092205" y="1550418"/>
              <a:chExt cx="2353004" cy="3192093"/>
            </a:xfrm>
          </xdr:grpSpPr>
          <xdr:sp macro="" textlink="">
            <xdr:nvSpPr>
              <xdr:cNvPr id="124" name="Rectangle 37">
                <a:extLst>
                  <a:ext uri="{FF2B5EF4-FFF2-40B4-BE49-F238E27FC236}">
                    <a16:creationId xmlns:a16="http://schemas.microsoft.com/office/drawing/2014/main" id="{402072AC-BE84-4811-BB76-C836DB854B0C}"/>
                  </a:ext>
                </a:extLst>
              </xdr:cNvPr>
              <xdr:cNvSpPr/>
            </xdr:nvSpPr>
            <xdr:spPr>
              <a:xfrm>
                <a:off x="2232101" y="1550418"/>
                <a:ext cx="2117844" cy="685244"/>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Feedstock supply</a:t>
                </a: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grpSp>
            <xdr:nvGrpSpPr>
              <xdr:cNvPr id="125" name="Group 38">
                <a:extLst>
                  <a:ext uri="{FF2B5EF4-FFF2-40B4-BE49-F238E27FC236}">
                    <a16:creationId xmlns:a16="http://schemas.microsoft.com/office/drawing/2014/main" id="{9B33D427-9F22-4A4E-872E-0B6031206665}"/>
                  </a:ext>
                </a:extLst>
              </xdr:cNvPr>
              <xdr:cNvGrpSpPr/>
            </xdr:nvGrpSpPr>
            <xdr:grpSpPr>
              <a:xfrm>
                <a:off x="2092205" y="2303053"/>
                <a:ext cx="2353004" cy="2439458"/>
                <a:chOff x="2085414" y="2571500"/>
                <a:chExt cx="2353004" cy="2439458"/>
              </a:xfrm>
            </xdr:grpSpPr>
            <xdr:sp macro="" textlink="">
              <xdr:nvSpPr>
                <xdr:cNvPr id="126" name="Right Brace 39">
                  <a:extLst>
                    <a:ext uri="{FF2B5EF4-FFF2-40B4-BE49-F238E27FC236}">
                      <a16:creationId xmlns:a16="http://schemas.microsoft.com/office/drawing/2014/main" id="{B1E16B9C-D1C3-4FAD-B1BA-E991025F80ED}"/>
                    </a:ext>
                  </a:extLst>
                </xdr:cNvPr>
                <xdr:cNvSpPr/>
              </xdr:nvSpPr>
              <xdr:spPr>
                <a:xfrm rot="16200000" flipV="1">
                  <a:off x="3115785" y="1541129"/>
                  <a:ext cx="292261" cy="2353004"/>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nvGrpSpPr>
                <xdr:cNvPr id="127" name="Group 40">
                  <a:extLst>
                    <a:ext uri="{FF2B5EF4-FFF2-40B4-BE49-F238E27FC236}">
                      <a16:creationId xmlns:a16="http://schemas.microsoft.com/office/drawing/2014/main" id="{985744D8-0735-42A1-9A1C-DFE2B46AEE84}"/>
                    </a:ext>
                  </a:extLst>
                </xdr:cNvPr>
                <xdr:cNvGrpSpPr/>
              </xdr:nvGrpSpPr>
              <xdr:grpSpPr>
                <a:xfrm>
                  <a:off x="2206896" y="2965085"/>
                  <a:ext cx="2129001" cy="1288801"/>
                  <a:chOff x="2245767" y="1205236"/>
                  <a:chExt cx="2129001" cy="1288800"/>
                </a:xfrm>
              </xdr:grpSpPr>
              <xdr:sp macro="" textlink="">
                <xdr:nvSpPr>
                  <xdr:cNvPr id="6336" name="Rectangle 43">
                    <a:extLst>
                      <a:ext uri="{FF2B5EF4-FFF2-40B4-BE49-F238E27FC236}">
                        <a16:creationId xmlns:a16="http://schemas.microsoft.com/office/drawing/2014/main" id="{3E3FC2B1-D72A-4B2E-9B55-EDDA32F7B337}"/>
                      </a:ext>
                    </a:extLst>
                  </xdr:cNvPr>
                  <xdr:cNvSpPr/>
                </xdr:nvSpPr>
                <xdr:spPr>
                  <a:xfrm rot="16200000">
                    <a:off x="1720056" y="1730947"/>
                    <a:ext cx="1288800" cy="237377"/>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sp macro="" textlink="">
                <xdr:nvSpPr>
                  <xdr:cNvPr id="6337" name="Rectangle 44">
                    <a:extLst>
                      <a:ext uri="{FF2B5EF4-FFF2-40B4-BE49-F238E27FC236}">
                        <a16:creationId xmlns:a16="http://schemas.microsoft.com/office/drawing/2014/main" id="{577BF0AF-A1F6-4FBF-8FF0-7767BF1E59EC}"/>
                      </a:ext>
                    </a:extLst>
                  </xdr:cNvPr>
                  <xdr:cNvSpPr/>
                </xdr:nvSpPr>
                <xdr:spPr>
                  <a:xfrm rot="16200000">
                    <a:off x="2209453" y="1693444"/>
                    <a:ext cx="1288647" cy="312383"/>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sp macro="" textlink="">
                <xdr:nvSpPr>
                  <xdr:cNvPr id="6338" name="Rectangle 45">
                    <a:extLst>
                      <a:ext uri="{FF2B5EF4-FFF2-40B4-BE49-F238E27FC236}">
                        <a16:creationId xmlns:a16="http://schemas.microsoft.com/office/drawing/2014/main" id="{7651AE74-9D9D-48DF-B399-1B12676576A9}"/>
                      </a:ext>
                    </a:extLst>
                  </xdr:cNvPr>
                  <xdr:cNvSpPr/>
                </xdr:nvSpPr>
                <xdr:spPr>
                  <a:xfrm rot="16200000">
                    <a:off x="2805018"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sp macro="" textlink="">
                <xdr:nvSpPr>
                  <xdr:cNvPr id="6339" name="Rectangle 46">
                    <a:extLst>
                      <a:ext uri="{FF2B5EF4-FFF2-40B4-BE49-F238E27FC236}">
                        <a16:creationId xmlns:a16="http://schemas.microsoft.com/office/drawing/2014/main" id="{DBF87964-0A5A-49AD-913E-8BE5267AF019}"/>
                      </a:ext>
                    </a:extLst>
                  </xdr:cNvPr>
                  <xdr:cNvSpPr/>
                </xdr:nvSpPr>
                <xdr:spPr>
                  <a:xfrm>
                    <a:off x="2932890"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40" name="Rectangle 47">
                    <a:extLst>
                      <a:ext uri="{FF2B5EF4-FFF2-40B4-BE49-F238E27FC236}">
                        <a16:creationId xmlns:a16="http://schemas.microsoft.com/office/drawing/2014/main" id="{30B8583B-6CAC-489C-A0B5-FB5DC7AD8BC0}"/>
                      </a:ext>
                    </a:extLst>
                  </xdr:cNvPr>
                  <xdr:cNvSpPr/>
                </xdr:nvSpPr>
                <xdr:spPr>
                  <a:xfrm>
                    <a:off x="2443156"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41" name="Rectangle 48">
                    <a:extLst>
                      <a:ext uri="{FF2B5EF4-FFF2-40B4-BE49-F238E27FC236}">
                        <a16:creationId xmlns:a16="http://schemas.microsoft.com/office/drawing/2014/main" id="{728ACB46-FF97-4F87-A9E4-777EC32E2928}"/>
                      </a:ext>
                    </a:extLst>
                  </xdr:cNvPr>
                  <xdr:cNvSpPr/>
                </xdr:nvSpPr>
                <xdr:spPr>
                  <a:xfrm rot="16200000">
                    <a:off x="3505963"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sp macro="" textlink="">
                <xdr:nvSpPr>
                  <xdr:cNvPr id="6342" name="Rectangle 49">
                    <a:extLst>
                      <a:ext uri="{FF2B5EF4-FFF2-40B4-BE49-F238E27FC236}">
                        <a16:creationId xmlns:a16="http://schemas.microsoft.com/office/drawing/2014/main" id="{0FFD3406-287E-45A3-B4C1-82310B3BB27D}"/>
                      </a:ext>
                    </a:extLst>
                  </xdr:cNvPr>
                  <xdr:cNvSpPr/>
                </xdr:nvSpPr>
                <xdr:spPr>
                  <a:xfrm>
                    <a:off x="3633835"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grpSp>
            <xdr:sp macro="" textlink="">
              <xdr:nvSpPr>
                <xdr:cNvPr id="6343" name="Rectangle 41">
                  <a:extLst>
                    <a:ext uri="{FF2B5EF4-FFF2-40B4-BE49-F238E27FC236}">
                      <a16:creationId xmlns:a16="http://schemas.microsoft.com/office/drawing/2014/main" id="{F2B5FD7F-35E2-4EEE-B405-D51AF3157D52}"/>
                    </a:ext>
                  </a:extLst>
                </xdr:cNvPr>
                <xdr:cNvSpPr/>
              </xdr:nvSpPr>
              <xdr:spPr>
                <a:xfrm>
                  <a:off x="2181674" y="4562147"/>
                  <a:ext cx="2168271"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a:t>
                  </a:r>
                  <a:endParaRPr lang="en-GB" sz="1200" i="1">
                    <a:solidFill>
                      <a:schemeClr val="tx1"/>
                    </a:solidFill>
                  </a:endParaRPr>
                </a:p>
              </xdr:txBody>
            </xdr:sp>
            <xdr:sp macro="" textlink="">
              <xdr:nvSpPr>
                <xdr:cNvPr id="6344" name="Right Brace 42">
                  <a:extLst>
                    <a:ext uri="{FF2B5EF4-FFF2-40B4-BE49-F238E27FC236}">
                      <a16:creationId xmlns:a16="http://schemas.microsoft.com/office/drawing/2014/main" id="{7CC0AEA1-9E67-451D-B158-0B88B13857F9}"/>
                    </a:ext>
                  </a:extLst>
                </xdr:cNvPr>
                <xdr:cNvSpPr/>
              </xdr:nvSpPr>
              <xdr:spPr>
                <a:xfrm rot="16200000" flipV="1">
                  <a:off x="3125429" y="3265176"/>
                  <a:ext cx="292261" cy="2314078"/>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grpSp>
        <xdr:grpSp>
          <xdr:nvGrpSpPr>
            <xdr:cNvPr id="6345" name="Group 6">
              <a:extLst>
                <a:ext uri="{FF2B5EF4-FFF2-40B4-BE49-F238E27FC236}">
                  <a16:creationId xmlns:a16="http://schemas.microsoft.com/office/drawing/2014/main" id="{4FBCF123-DD37-44E4-806E-D8E3FECFB759}"/>
                </a:ext>
              </a:extLst>
            </xdr:cNvPr>
            <xdr:cNvGrpSpPr/>
          </xdr:nvGrpSpPr>
          <xdr:grpSpPr>
            <a:xfrm>
              <a:off x="4725570" y="1550418"/>
              <a:ext cx="2353004" cy="3192093"/>
              <a:chOff x="2092205" y="1550418"/>
              <a:chExt cx="2353004" cy="3192093"/>
            </a:xfrm>
          </xdr:grpSpPr>
          <xdr:sp macro="" textlink="">
            <xdr:nvSpPr>
              <xdr:cNvPr id="6346" name="Rectangle 24">
                <a:extLst>
                  <a:ext uri="{FF2B5EF4-FFF2-40B4-BE49-F238E27FC236}">
                    <a16:creationId xmlns:a16="http://schemas.microsoft.com/office/drawing/2014/main" id="{0AFE23B2-B937-4E71-A9CF-047612D990D1}"/>
                  </a:ext>
                </a:extLst>
              </xdr:cNvPr>
              <xdr:cNvSpPr/>
            </xdr:nvSpPr>
            <xdr:spPr>
              <a:xfrm>
                <a:off x="2232101" y="1550418"/>
                <a:ext cx="2117844" cy="685244"/>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Energy supply</a:t>
                </a: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grpSp>
            <xdr:nvGrpSpPr>
              <xdr:cNvPr id="6347" name="Group 25">
                <a:extLst>
                  <a:ext uri="{FF2B5EF4-FFF2-40B4-BE49-F238E27FC236}">
                    <a16:creationId xmlns:a16="http://schemas.microsoft.com/office/drawing/2014/main" id="{811261AE-A467-4AFB-9499-2EE09D6A6DBD}"/>
                  </a:ext>
                </a:extLst>
              </xdr:cNvPr>
              <xdr:cNvGrpSpPr/>
            </xdr:nvGrpSpPr>
            <xdr:grpSpPr>
              <a:xfrm>
                <a:off x="2092205" y="2303053"/>
                <a:ext cx="2353004" cy="2439458"/>
                <a:chOff x="2085414" y="2571500"/>
                <a:chExt cx="2353004" cy="2439458"/>
              </a:xfrm>
            </xdr:grpSpPr>
            <xdr:sp macro="" textlink="">
              <xdr:nvSpPr>
                <xdr:cNvPr id="6349" name="Right Brace 26">
                  <a:extLst>
                    <a:ext uri="{FF2B5EF4-FFF2-40B4-BE49-F238E27FC236}">
                      <a16:creationId xmlns:a16="http://schemas.microsoft.com/office/drawing/2014/main" id="{E9B1B922-69A4-4612-8C39-EDD122058534}"/>
                    </a:ext>
                  </a:extLst>
                </xdr:cNvPr>
                <xdr:cNvSpPr/>
              </xdr:nvSpPr>
              <xdr:spPr>
                <a:xfrm rot="16200000" flipV="1">
                  <a:off x="3115785" y="1541129"/>
                  <a:ext cx="292261" cy="2353004"/>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nvGrpSpPr>
                <xdr:cNvPr id="6350" name="Group 27">
                  <a:extLst>
                    <a:ext uri="{FF2B5EF4-FFF2-40B4-BE49-F238E27FC236}">
                      <a16:creationId xmlns:a16="http://schemas.microsoft.com/office/drawing/2014/main" id="{48164666-3799-47BB-85BE-A0E8EDBF1CBC}"/>
                    </a:ext>
                  </a:extLst>
                </xdr:cNvPr>
                <xdr:cNvGrpSpPr/>
              </xdr:nvGrpSpPr>
              <xdr:grpSpPr>
                <a:xfrm>
                  <a:off x="2206896" y="2965085"/>
                  <a:ext cx="2129001" cy="1288801"/>
                  <a:chOff x="2245767" y="1205236"/>
                  <a:chExt cx="2129001" cy="1288800"/>
                </a:xfrm>
              </xdr:grpSpPr>
              <xdr:sp macro="" textlink="">
                <xdr:nvSpPr>
                  <xdr:cNvPr id="6352" name="Rectangle 30">
                    <a:extLst>
                      <a:ext uri="{FF2B5EF4-FFF2-40B4-BE49-F238E27FC236}">
                        <a16:creationId xmlns:a16="http://schemas.microsoft.com/office/drawing/2014/main" id="{FF4DBFA1-A4A3-47B9-BC65-D03E70E79EA8}"/>
                      </a:ext>
                    </a:extLst>
                  </xdr:cNvPr>
                  <xdr:cNvSpPr/>
                </xdr:nvSpPr>
                <xdr:spPr>
                  <a:xfrm rot="16200000">
                    <a:off x="1720056" y="1730947"/>
                    <a:ext cx="1288800" cy="237377"/>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sp macro="" textlink="">
                <xdr:nvSpPr>
                  <xdr:cNvPr id="6353" name="Rectangle 31">
                    <a:extLst>
                      <a:ext uri="{FF2B5EF4-FFF2-40B4-BE49-F238E27FC236}">
                        <a16:creationId xmlns:a16="http://schemas.microsoft.com/office/drawing/2014/main" id="{B8392A49-51F5-4ACF-BCE5-D9BB70E43174}"/>
                      </a:ext>
                    </a:extLst>
                  </xdr:cNvPr>
                  <xdr:cNvSpPr/>
                </xdr:nvSpPr>
                <xdr:spPr>
                  <a:xfrm rot="16200000">
                    <a:off x="2192772" y="1676159"/>
                    <a:ext cx="1288647" cy="34695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sp macro="" textlink="">
                <xdr:nvSpPr>
                  <xdr:cNvPr id="6355" name="Rectangle 32">
                    <a:extLst>
                      <a:ext uri="{FF2B5EF4-FFF2-40B4-BE49-F238E27FC236}">
                        <a16:creationId xmlns:a16="http://schemas.microsoft.com/office/drawing/2014/main" id="{7B29DA4D-B800-488E-B865-D5E71A8D1948}"/>
                      </a:ext>
                    </a:extLst>
                  </xdr:cNvPr>
                  <xdr:cNvSpPr/>
                </xdr:nvSpPr>
                <xdr:spPr>
                  <a:xfrm rot="16200000">
                    <a:off x="2805018"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sp macro="" textlink="">
                <xdr:nvSpPr>
                  <xdr:cNvPr id="6356" name="Rectangle 33">
                    <a:extLst>
                      <a:ext uri="{FF2B5EF4-FFF2-40B4-BE49-F238E27FC236}">
                        <a16:creationId xmlns:a16="http://schemas.microsoft.com/office/drawing/2014/main" id="{2B8D8A85-5D55-48E5-8AA7-ADD8CFF7B031}"/>
                      </a:ext>
                    </a:extLst>
                  </xdr:cNvPr>
                  <xdr:cNvSpPr/>
                </xdr:nvSpPr>
                <xdr:spPr>
                  <a:xfrm>
                    <a:off x="2932890"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58" name="Rectangle 34">
                    <a:extLst>
                      <a:ext uri="{FF2B5EF4-FFF2-40B4-BE49-F238E27FC236}">
                        <a16:creationId xmlns:a16="http://schemas.microsoft.com/office/drawing/2014/main" id="{F3C8F283-EC0F-478B-8EE2-52805ED9E558}"/>
                      </a:ext>
                    </a:extLst>
                  </xdr:cNvPr>
                  <xdr:cNvSpPr/>
                </xdr:nvSpPr>
                <xdr:spPr>
                  <a:xfrm>
                    <a:off x="2443156"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59" name="Rectangle 35">
                    <a:extLst>
                      <a:ext uri="{FF2B5EF4-FFF2-40B4-BE49-F238E27FC236}">
                        <a16:creationId xmlns:a16="http://schemas.microsoft.com/office/drawing/2014/main" id="{3AE5D1A6-151F-4EDA-9C73-FC9C6289DCB3}"/>
                      </a:ext>
                    </a:extLst>
                  </xdr:cNvPr>
                  <xdr:cNvSpPr/>
                </xdr:nvSpPr>
                <xdr:spPr>
                  <a:xfrm rot="16200000">
                    <a:off x="3505963"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sp macro="" textlink="">
                <xdr:nvSpPr>
                  <xdr:cNvPr id="6360" name="Rectangle 36">
                    <a:extLst>
                      <a:ext uri="{FF2B5EF4-FFF2-40B4-BE49-F238E27FC236}">
                        <a16:creationId xmlns:a16="http://schemas.microsoft.com/office/drawing/2014/main" id="{64C60F06-F823-45E9-BC98-4F0800D12D1C}"/>
                      </a:ext>
                    </a:extLst>
                  </xdr:cNvPr>
                  <xdr:cNvSpPr/>
                </xdr:nvSpPr>
                <xdr:spPr>
                  <a:xfrm>
                    <a:off x="3633835"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grpSp>
            <xdr:sp macro="" textlink="">
              <xdr:nvSpPr>
                <xdr:cNvPr id="6361" name="Rectangle 28">
                  <a:extLst>
                    <a:ext uri="{FF2B5EF4-FFF2-40B4-BE49-F238E27FC236}">
                      <a16:creationId xmlns:a16="http://schemas.microsoft.com/office/drawing/2014/main" id="{0B712C61-C3E7-4757-BDC4-3BCD715E1B5B}"/>
                    </a:ext>
                  </a:extLst>
                </xdr:cNvPr>
                <xdr:cNvSpPr/>
              </xdr:nvSpPr>
              <xdr:spPr>
                <a:xfrm>
                  <a:off x="2181674" y="4562147"/>
                  <a:ext cx="2168271"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a:t>
                  </a:r>
                  <a:endParaRPr lang="en-GB" sz="1200" i="1">
                    <a:solidFill>
                      <a:schemeClr val="tx1"/>
                    </a:solidFill>
                  </a:endParaRPr>
                </a:p>
              </xdr:txBody>
            </xdr:sp>
            <xdr:sp macro="" textlink="">
              <xdr:nvSpPr>
                <xdr:cNvPr id="6362" name="Right Brace 29">
                  <a:extLst>
                    <a:ext uri="{FF2B5EF4-FFF2-40B4-BE49-F238E27FC236}">
                      <a16:creationId xmlns:a16="http://schemas.microsoft.com/office/drawing/2014/main" id="{F87093B2-1759-4346-8B43-8107B03362E7}"/>
                    </a:ext>
                  </a:extLst>
                </xdr:cNvPr>
                <xdr:cNvSpPr/>
              </xdr:nvSpPr>
              <xdr:spPr>
                <a:xfrm rot="16200000" flipV="1">
                  <a:off x="3112829" y="3277776"/>
                  <a:ext cx="292261" cy="2288878"/>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grpSp>
        <xdr:sp macro="" textlink="">
          <xdr:nvSpPr>
            <xdr:cNvPr id="6364" name="Rectangle 7">
              <a:extLst>
                <a:ext uri="{FF2B5EF4-FFF2-40B4-BE49-F238E27FC236}">
                  <a16:creationId xmlns:a16="http://schemas.microsoft.com/office/drawing/2014/main" id="{AA68DE6E-9F56-49C3-9F13-E4BBB08CF7D0}"/>
                </a:ext>
              </a:extLst>
            </xdr:cNvPr>
            <xdr:cNvSpPr/>
          </xdr:nvSpPr>
          <xdr:spPr>
            <a:xfrm>
              <a:off x="7043555" y="1755638"/>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grpSp>
          <xdr:nvGrpSpPr>
            <xdr:cNvPr id="6365" name="Group 8">
              <a:extLst>
                <a:ext uri="{FF2B5EF4-FFF2-40B4-BE49-F238E27FC236}">
                  <a16:creationId xmlns:a16="http://schemas.microsoft.com/office/drawing/2014/main" id="{36BD932E-622D-44D4-87F5-7A99A7CE6067}"/>
                </a:ext>
              </a:extLst>
            </xdr:cNvPr>
            <xdr:cNvGrpSpPr/>
          </xdr:nvGrpSpPr>
          <xdr:grpSpPr>
            <a:xfrm>
              <a:off x="7330707" y="1546270"/>
              <a:ext cx="2353004" cy="3192093"/>
              <a:chOff x="2092205" y="1550418"/>
              <a:chExt cx="2353004" cy="3192093"/>
            </a:xfrm>
          </xdr:grpSpPr>
          <xdr:sp macro="" textlink="">
            <xdr:nvSpPr>
              <xdr:cNvPr id="6367" name="Rectangle 11">
                <a:extLst>
                  <a:ext uri="{FF2B5EF4-FFF2-40B4-BE49-F238E27FC236}">
                    <a16:creationId xmlns:a16="http://schemas.microsoft.com/office/drawing/2014/main" id="{092BBA71-3534-4261-BEA3-0406F9E03C30}"/>
                  </a:ext>
                </a:extLst>
              </xdr:cNvPr>
              <xdr:cNvSpPr/>
            </xdr:nvSpPr>
            <xdr:spPr>
              <a:xfrm>
                <a:off x="2232101" y="1550418"/>
                <a:ext cx="2117844" cy="685244"/>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 materials</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grpSp>
            <xdr:nvGrpSpPr>
              <xdr:cNvPr id="6368" name="Group 12">
                <a:extLst>
                  <a:ext uri="{FF2B5EF4-FFF2-40B4-BE49-F238E27FC236}">
                    <a16:creationId xmlns:a16="http://schemas.microsoft.com/office/drawing/2014/main" id="{D6F33219-7A07-483B-AD61-812E1E1AC80A}"/>
                  </a:ext>
                </a:extLst>
              </xdr:cNvPr>
              <xdr:cNvGrpSpPr/>
            </xdr:nvGrpSpPr>
            <xdr:grpSpPr>
              <a:xfrm>
                <a:off x="2092205" y="2303053"/>
                <a:ext cx="2353004" cy="2439458"/>
                <a:chOff x="2085414" y="2571500"/>
                <a:chExt cx="2353004" cy="2439458"/>
              </a:xfrm>
            </xdr:grpSpPr>
            <xdr:sp macro="" textlink="">
              <xdr:nvSpPr>
                <xdr:cNvPr id="6370" name="Right Brace 13">
                  <a:extLst>
                    <a:ext uri="{FF2B5EF4-FFF2-40B4-BE49-F238E27FC236}">
                      <a16:creationId xmlns:a16="http://schemas.microsoft.com/office/drawing/2014/main" id="{06BB2E56-0FD6-4B36-A1EB-C2EF9240E321}"/>
                    </a:ext>
                  </a:extLst>
                </xdr:cNvPr>
                <xdr:cNvSpPr/>
              </xdr:nvSpPr>
              <xdr:spPr>
                <a:xfrm rot="16200000" flipV="1">
                  <a:off x="3115785" y="1541129"/>
                  <a:ext cx="292261" cy="2353004"/>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nvGrpSpPr>
                <xdr:cNvPr id="6371" name="Group 14">
                  <a:extLst>
                    <a:ext uri="{FF2B5EF4-FFF2-40B4-BE49-F238E27FC236}">
                      <a16:creationId xmlns:a16="http://schemas.microsoft.com/office/drawing/2014/main" id="{D97FACD1-DC8B-4CC6-972C-4F7F0C62130F}"/>
                    </a:ext>
                  </a:extLst>
                </xdr:cNvPr>
                <xdr:cNvGrpSpPr/>
              </xdr:nvGrpSpPr>
              <xdr:grpSpPr>
                <a:xfrm>
                  <a:off x="2206896" y="2965085"/>
                  <a:ext cx="2129001" cy="1288801"/>
                  <a:chOff x="2245767" y="1205236"/>
                  <a:chExt cx="2129001" cy="1288800"/>
                </a:xfrm>
              </xdr:grpSpPr>
              <xdr:sp macro="" textlink="">
                <xdr:nvSpPr>
                  <xdr:cNvPr id="6373" name="Rectangle 17">
                    <a:extLst>
                      <a:ext uri="{FF2B5EF4-FFF2-40B4-BE49-F238E27FC236}">
                        <a16:creationId xmlns:a16="http://schemas.microsoft.com/office/drawing/2014/main" id="{6004B6BD-4BF1-44E3-805D-BCFE541F776A}"/>
                      </a:ext>
                    </a:extLst>
                  </xdr:cNvPr>
                  <xdr:cNvSpPr/>
                </xdr:nvSpPr>
                <xdr:spPr>
                  <a:xfrm rot="16200000">
                    <a:off x="1720056" y="1730947"/>
                    <a:ext cx="1288800" cy="237377"/>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sp macro="" textlink="">
                <xdr:nvSpPr>
                  <xdr:cNvPr id="6374" name="Rectangle 18">
                    <a:extLst>
                      <a:ext uri="{FF2B5EF4-FFF2-40B4-BE49-F238E27FC236}">
                        <a16:creationId xmlns:a16="http://schemas.microsoft.com/office/drawing/2014/main" id="{1BAD5BE5-EB90-4C72-98ED-E6AAC05CD67E}"/>
                      </a:ext>
                    </a:extLst>
                  </xdr:cNvPr>
                  <xdr:cNvSpPr/>
                </xdr:nvSpPr>
                <xdr:spPr>
                  <a:xfrm rot="16200000">
                    <a:off x="2218993" y="1683905"/>
                    <a:ext cx="1288647" cy="33146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sp macro="" textlink="">
                <xdr:nvSpPr>
                  <xdr:cNvPr id="6376" name="Rectangle 19">
                    <a:extLst>
                      <a:ext uri="{FF2B5EF4-FFF2-40B4-BE49-F238E27FC236}">
                        <a16:creationId xmlns:a16="http://schemas.microsoft.com/office/drawing/2014/main" id="{92091420-6D3F-4032-8313-CCC6420BAB18}"/>
                      </a:ext>
                    </a:extLst>
                  </xdr:cNvPr>
                  <xdr:cNvSpPr/>
                </xdr:nvSpPr>
                <xdr:spPr>
                  <a:xfrm rot="16200000">
                    <a:off x="2805018"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sp macro="" textlink="">
                <xdr:nvSpPr>
                  <xdr:cNvPr id="6377" name="Rectangle 20">
                    <a:extLst>
                      <a:ext uri="{FF2B5EF4-FFF2-40B4-BE49-F238E27FC236}">
                        <a16:creationId xmlns:a16="http://schemas.microsoft.com/office/drawing/2014/main" id="{57C35457-EE38-4F7F-ABDD-F33B01CC8559}"/>
                      </a:ext>
                    </a:extLst>
                  </xdr:cNvPr>
                  <xdr:cNvSpPr/>
                </xdr:nvSpPr>
                <xdr:spPr>
                  <a:xfrm>
                    <a:off x="2932890"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79" name="Rectangle 21">
                    <a:extLst>
                      <a:ext uri="{FF2B5EF4-FFF2-40B4-BE49-F238E27FC236}">
                        <a16:creationId xmlns:a16="http://schemas.microsoft.com/office/drawing/2014/main" id="{CF72796C-9258-4862-BD79-2D58E0F6EB87}"/>
                      </a:ext>
                    </a:extLst>
                  </xdr:cNvPr>
                  <xdr:cNvSpPr/>
                </xdr:nvSpPr>
                <xdr:spPr>
                  <a:xfrm>
                    <a:off x="2443156"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80" name="Rectangle 22">
                    <a:extLst>
                      <a:ext uri="{FF2B5EF4-FFF2-40B4-BE49-F238E27FC236}">
                        <a16:creationId xmlns:a16="http://schemas.microsoft.com/office/drawing/2014/main" id="{290A5502-5F63-4BAA-87BB-B227406C3AC6}"/>
                      </a:ext>
                    </a:extLst>
                  </xdr:cNvPr>
                  <xdr:cNvSpPr/>
                </xdr:nvSpPr>
                <xdr:spPr>
                  <a:xfrm rot="16200000">
                    <a:off x="3505963"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sp macro="" textlink="">
                <xdr:nvSpPr>
                  <xdr:cNvPr id="6383" name="Rectangle 23">
                    <a:extLst>
                      <a:ext uri="{FF2B5EF4-FFF2-40B4-BE49-F238E27FC236}">
                        <a16:creationId xmlns:a16="http://schemas.microsoft.com/office/drawing/2014/main" id="{E8EE99E2-77AE-4BB9-947E-774F01553CFB}"/>
                      </a:ext>
                    </a:extLst>
                  </xdr:cNvPr>
                  <xdr:cNvSpPr/>
                </xdr:nvSpPr>
                <xdr:spPr>
                  <a:xfrm>
                    <a:off x="3633835"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grpSp>
            <xdr:sp macro="" textlink="">
              <xdr:nvSpPr>
                <xdr:cNvPr id="6384" name="Rectangle 15">
                  <a:extLst>
                    <a:ext uri="{FF2B5EF4-FFF2-40B4-BE49-F238E27FC236}">
                      <a16:creationId xmlns:a16="http://schemas.microsoft.com/office/drawing/2014/main" id="{D19F05A1-2E02-4789-A74E-67AE2434BB3B}"/>
                    </a:ext>
                  </a:extLst>
                </xdr:cNvPr>
                <xdr:cNvSpPr/>
              </xdr:nvSpPr>
              <xdr:spPr>
                <a:xfrm>
                  <a:off x="2181674" y="4562147"/>
                  <a:ext cx="2168271"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 </a:t>
                  </a:r>
                  <a:endParaRPr lang="en-GB" sz="1200" i="1">
                    <a:solidFill>
                      <a:schemeClr val="tx1"/>
                    </a:solidFill>
                  </a:endParaRPr>
                </a:p>
              </xdr:txBody>
            </xdr:sp>
            <xdr:sp macro="" textlink="">
              <xdr:nvSpPr>
                <xdr:cNvPr id="6385" name="Right Brace 16">
                  <a:extLst>
                    <a:ext uri="{FF2B5EF4-FFF2-40B4-BE49-F238E27FC236}">
                      <a16:creationId xmlns:a16="http://schemas.microsoft.com/office/drawing/2014/main" id="{25814079-4030-4B61-8627-EEF514436F15}"/>
                    </a:ext>
                  </a:extLst>
                </xdr:cNvPr>
                <xdr:cNvSpPr/>
              </xdr:nvSpPr>
              <xdr:spPr>
                <a:xfrm rot="16200000" flipV="1">
                  <a:off x="3110755" y="3279850"/>
                  <a:ext cx="296409" cy="2288878"/>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grpSp>
      </xdr:grpSp>
      <xdr:sp macro="" textlink="">
        <xdr:nvSpPr>
          <xdr:cNvPr id="6386" name="Rectangle 121">
            <a:extLst>
              <a:ext uri="{FF2B5EF4-FFF2-40B4-BE49-F238E27FC236}">
                <a16:creationId xmlns:a16="http://schemas.microsoft.com/office/drawing/2014/main" id="{C6780193-0428-4DBB-9866-346D63676163}"/>
              </a:ext>
            </a:extLst>
          </xdr:cNvPr>
          <xdr:cNvSpPr/>
        </xdr:nvSpPr>
        <xdr:spPr>
          <a:xfrm>
            <a:off x="8743914" y="7273925"/>
            <a:ext cx="2142853" cy="659451"/>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Process CO</a:t>
            </a:r>
            <a:r>
              <a:rPr lang="en-GB" sz="1200" baseline="-25000">
                <a:solidFill>
                  <a:schemeClr val="tx1"/>
                </a:solidFill>
              </a:rPr>
              <a:t>2</a:t>
            </a:r>
            <a:r>
              <a:rPr lang="en-GB" sz="1200">
                <a:solidFill>
                  <a:schemeClr val="tx1"/>
                </a:solidFill>
              </a:rPr>
              <a:t> emissions</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sp macro="" textlink="">
        <xdr:nvSpPr>
          <xdr:cNvPr id="6387" name="Rectangle 122">
            <a:extLst>
              <a:ext uri="{FF2B5EF4-FFF2-40B4-BE49-F238E27FC236}">
                <a16:creationId xmlns:a16="http://schemas.microsoft.com/office/drawing/2014/main" id="{7382D781-0D73-4B75-AF3B-71C11B3941C1}"/>
              </a:ext>
            </a:extLst>
          </xdr:cNvPr>
          <xdr:cNvSpPr/>
        </xdr:nvSpPr>
        <xdr:spPr>
          <a:xfrm>
            <a:off x="11304787" y="7275568"/>
            <a:ext cx="2146422" cy="658410"/>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CO</a:t>
            </a:r>
            <a:r>
              <a:rPr lang="en-GB" sz="1200" baseline="-25000">
                <a:solidFill>
                  <a:schemeClr val="tx1"/>
                </a:solidFill>
              </a:rPr>
              <a:t>2</a:t>
            </a:r>
            <a:r>
              <a:rPr lang="en-GB" sz="1200" baseline="0">
                <a:solidFill>
                  <a:schemeClr val="tx1"/>
                </a:solidFill>
              </a:rPr>
              <a:t> capture and network entry</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sp macro="" textlink="">
        <xdr:nvSpPr>
          <xdr:cNvPr id="6388" name="Rectangle 123">
            <a:extLst>
              <a:ext uri="{FF2B5EF4-FFF2-40B4-BE49-F238E27FC236}">
                <a16:creationId xmlns:a16="http://schemas.microsoft.com/office/drawing/2014/main" id="{440655E4-3679-4C11-B322-3DD9CB4D2F80}"/>
              </a:ext>
            </a:extLst>
          </xdr:cNvPr>
          <xdr:cNvSpPr/>
        </xdr:nvSpPr>
        <xdr:spPr>
          <a:xfrm>
            <a:off x="13820658" y="7273925"/>
            <a:ext cx="2142853" cy="659451"/>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CO</a:t>
            </a:r>
            <a:r>
              <a:rPr lang="en-GB" sz="1200" baseline="-25000">
                <a:solidFill>
                  <a:schemeClr val="tx1"/>
                </a:solidFill>
              </a:rPr>
              <a:t>2</a:t>
            </a:r>
            <a:r>
              <a:rPr lang="en-GB" sz="1200">
                <a:solidFill>
                  <a:schemeClr val="tx1"/>
                </a:solidFill>
              </a:rPr>
              <a:t> sequestration</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sp macro="" textlink="">
        <xdr:nvSpPr>
          <xdr:cNvPr id="6389" name="Rectangle 124">
            <a:extLst>
              <a:ext uri="{FF2B5EF4-FFF2-40B4-BE49-F238E27FC236}">
                <a16:creationId xmlns:a16="http://schemas.microsoft.com/office/drawing/2014/main" id="{ABE68568-FCA3-48A4-B17F-E79FAB1C97FD}"/>
              </a:ext>
            </a:extLst>
          </xdr:cNvPr>
          <xdr:cNvSpPr/>
        </xdr:nvSpPr>
        <xdr:spPr>
          <a:xfrm>
            <a:off x="16316258" y="7273925"/>
            <a:ext cx="2146028" cy="659451"/>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Fugitive non-CO</a:t>
            </a:r>
            <a:r>
              <a:rPr lang="en-GB" sz="1200" baseline="-25000">
                <a:solidFill>
                  <a:schemeClr val="tx1"/>
                </a:solidFill>
              </a:rPr>
              <a:t>2</a:t>
            </a:r>
            <a:r>
              <a:rPr lang="en-GB" sz="1200">
                <a:solidFill>
                  <a:schemeClr val="tx1"/>
                </a:solidFill>
              </a:rPr>
              <a:t> emissions</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grpSp>
    <xdr:clientData/>
  </xdr:twoCellAnchor>
  <xdr:twoCellAnchor>
    <xdr:from>
      <xdr:col>13</xdr:col>
      <xdr:colOff>609599</xdr:colOff>
      <xdr:row>45</xdr:row>
      <xdr:rowOff>141899</xdr:rowOff>
    </xdr:from>
    <xdr:to>
      <xdr:col>17</xdr:col>
      <xdr:colOff>550799</xdr:colOff>
      <xdr:row>47</xdr:row>
      <xdr:rowOff>50799</xdr:rowOff>
    </xdr:to>
    <xdr:sp macro="" textlink="">
      <xdr:nvSpPr>
        <xdr:cNvPr id="6437" name="Right Brace 125">
          <a:extLst>
            <a:ext uri="{FF2B5EF4-FFF2-40B4-BE49-F238E27FC236}">
              <a16:creationId xmlns:a16="http://schemas.microsoft.com/office/drawing/2014/main" id="{FDA88632-3495-47E4-9CA7-006F78CA276E}"/>
            </a:ext>
          </a:extLst>
        </xdr:cNvPr>
        <xdr:cNvSpPr/>
      </xdr:nvSpPr>
      <xdr:spPr>
        <a:xfrm rot="16200000" flipV="1">
          <a:off x="9588774" y="6936124"/>
          <a:ext cx="270850" cy="2379600"/>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18</xdr:col>
      <xdr:colOff>129722</xdr:colOff>
      <xdr:row>45</xdr:row>
      <xdr:rowOff>145074</xdr:rowOff>
    </xdr:from>
    <xdr:to>
      <xdr:col>22</xdr:col>
      <xdr:colOff>70922</xdr:colOff>
      <xdr:row>47</xdr:row>
      <xdr:rowOff>57149</xdr:rowOff>
    </xdr:to>
    <xdr:sp macro="" textlink="">
      <xdr:nvSpPr>
        <xdr:cNvPr id="5770" name="Right Brace 126">
          <a:extLst>
            <a:ext uri="{FF2B5EF4-FFF2-40B4-BE49-F238E27FC236}">
              <a16:creationId xmlns:a16="http://schemas.microsoft.com/office/drawing/2014/main" id="{DFBFB3BB-FA84-4BC3-BDCE-A67E2F07B002}"/>
            </a:ext>
          </a:extLst>
        </xdr:cNvPr>
        <xdr:cNvSpPr/>
      </xdr:nvSpPr>
      <xdr:spPr>
        <a:xfrm rot="16200000" flipV="1">
          <a:off x="12241034" y="7560012"/>
          <a:ext cx="293075" cy="2390486"/>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22</xdr:col>
      <xdr:colOff>259897</xdr:colOff>
      <xdr:row>45</xdr:row>
      <xdr:rowOff>145073</xdr:rowOff>
    </xdr:from>
    <xdr:to>
      <xdr:col>26</xdr:col>
      <xdr:colOff>201097</xdr:colOff>
      <xdr:row>47</xdr:row>
      <xdr:rowOff>50798</xdr:rowOff>
    </xdr:to>
    <xdr:sp macro="" textlink="">
      <xdr:nvSpPr>
        <xdr:cNvPr id="5781" name="Right Brace 127">
          <a:extLst>
            <a:ext uri="{FF2B5EF4-FFF2-40B4-BE49-F238E27FC236}">
              <a16:creationId xmlns:a16="http://schemas.microsoft.com/office/drawing/2014/main" id="{7FF53D7D-67AD-4D64-BFFB-2ECFE8662871}"/>
            </a:ext>
          </a:extLst>
        </xdr:cNvPr>
        <xdr:cNvSpPr/>
      </xdr:nvSpPr>
      <xdr:spPr>
        <a:xfrm rot="16200000" flipV="1">
          <a:off x="14823670" y="7556836"/>
          <a:ext cx="286725" cy="2390486"/>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26</xdr:col>
      <xdr:colOff>394609</xdr:colOff>
      <xdr:row>45</xdr:row>
      <xdr:rowOff>141898</xdr:rowOff>
    </xdr:from>
    <xdr:to>
      <xdr:col>30</xdr:col>
      <xdr:colOff>335809</xdr:colOff>
      <xdr:row>47</xdr:row>
      <xdr:rowOff>47623</xdr:rowOff>
    </xdr:to>
    <xdr:sp macro="" textlink="">
      <xdr:nvSpPr>
        <xdr:cNvPr id="5799" name="Right Brace 128">
          <a:extLst>
            <a:ext uri="{FF2B5EF4-FFF2-40B4-BE49-F238E27FC236}">
              <a16:creationId xmlns:a16="http://schemas.microsoft.com/office/drawing/2014/main" id="{403E5F66-928E-4FB1-95FC-1C3257A85464}"/>
            </a:ext>
          </a:extLst>
        </xdr:cNvPr>
        <xdr:cNvSpPr/>
      </xdr:nvSpPr>
      <xdr:spPr>
        <a:xfrm rot="16200000" flipV="1">
          <a:off x="17407668" y="7553661"/>
          <a:ext cx="286725" cy="2390485"/>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13</xdr:col>
      <xdr:colOff>384174</xdr:colOff>
      <xdr:row>42</xdr:row>
      <xdr:rowOff>180973</xdr:rowOff>
    </xdr:from>
    <xdr:to>
      <xdr:col>14</xdr:col>
      <xdr:colOff>104020</xdr:colOff>
      <xdr:row>44</xdr:row>
      <xdr:rowOff>37729</xdr:rowOff>
    </xdr:to>
    <xdr:sp macro="" textlink="">
      <xdr:nvSpPr>
        <xdr:cNvPr id="208" name="Rectangle 129">
          <a:extLst>
            <a:ext uri="{FF2B5EF4-FFF2-40B4-BE49-F238E27FC236}">
              <a16:creationId xmlns:a16="http://schemas.microsoft.com/office/drawing/2014/main" id="{259D39BC-F66A-495A-BC19-FF04FB5AEF58}"/>
            </a:ext>
          </a:extLst>
        </xdr:cNvPr>
        <xdr:cNvSpPr/>
      </xdr:nvSpPr>
      <xdr:spPr>
        <a:xfrm>
          <a:off x="8308974" y="7486648"/>
          <a:ext cx="329446" cy="218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clientData/>
  </xdr:twoCellAnchor>
  <xdr:twoCellAnchor>
    <xdr:from>
      <xdr:col>17</xdr:col>
      <xdr:colOff>561974</xdr:colOff>
      <xdr:row>43</xdr:row>
      <xdr:rowOff>9523</xdr:rowOff>
    </xdr:from>
    <xdr:to>
      <xdr:col>18</xdr:col>
      <xdr:colOff>284995</xdr:colOff>
      <xdr:row>44</xdr:row>
      <xdr:rowOff>37729</xdr:rowOff>
    </xdr:to>
    <xdr:sp macro="" textlink="">
      <xdr:nvSpPr>
        <xdr:cNvPr id="5744" name="Rectangle 130">
          <a:extLst>
            <a:ext uri="{FF2B5EF4-FFF2-40B4-BE49-F238E27FC236}">
              <a16:creationId xmlns:a16="http://schemas.microsoft.com/office/drawing/2014/main" id="{4D87BBD0-31E9-4EC1-8EA7-DAB6360E7D68}"/>
            </a:ext>
          </a:extLst>
        </xdr:cNvPr>
        <xdr:cNvSpPr/>
      </xdr:nvSpPr>
      <xdr:spPr>
        <a:xfrm>
          <a:off x="10925174" y="7496173"/>
          <a:ext cx="332621" cy="2091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clientData/>
  </xdr:twoCellAnchor>
  <xdr:twoCellAnchor>
    <xdr:from>
      <xdr:col>22</xdr:col>
      <xdr:colOff>76200</xdr:colOff>
      <xdr:row>43</xdr:row>
      <xdr:rowOff>6350</xdr:rowOff>
    </xdr:from>
    <xdr:to>
      <xdr:col>22</xdr:col>
      <xdr:colOff>408821</xdr:colOff>
      <xdr:row>44</xdr:row>
      <xdr:rowOff>37731</xdr:rowOff>
    </xdr:to>
    <xdr:sp macro="" textlink="">
      <xdr:nvSpPr>
        <xdr:cNvPr id="5733" name="Rectangle 131">
          <a:extLst>
            <a:ext uri="{FF2B5EF4-FFF2-40B4-BE49-F238E27FC236}">
              <a16:creationId xmlns:a16="http://schemas.microsoft.com/office/drawing/2014/main" id="{D57F1599-7AE2-4A2A-AC60-83EB9610CD3D}"/>
            </a:ext>
          </a:extLst>
        </xdr:cNvPr>
        <xdr:cNvSpPr/>
      </xdr:nvSpPr>
      <xdr:spPr>
        <a:xfrm>
          <a:off x="13487400" y="7493000"/>
          <a:ext cx="332621" cy="2123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clientData/>
  </xdr:twoCellAnchor>
  <xdr:twoCellAnchor>
    <xdr:from>
      <xdr:col>26</xdr:col>
      <xdr:colOff>123825</xdr:colOff>
      <xdr:row>43</xdr:row>
      <xdr:rowOff>19050</xdr:rowOff>
    </xdr:from>
    <xdr:to>
      <xdr:col>26</xdr:col>
      <xdr:colOff>459621</xdr:colOff>
      <xdr:row>44</xdr:row>
      <xdr:rowOff>47256</xdr:rowOff>
    </xdr:to>
    <xdr:sp macro="" textlink="">
      <xdr:nvSpPr>
        <xdr:cNvPr id="5710" name="Rectangle 132">
          <a:extLst>
            <a:ext uri="{FF2B5EF4-FFF2-40B4-BE49-F238E27FC236}">
              <a16:creationId xmlns:a16="http://schemas.microsoft.com/office/drawing/2014/main" id="{A852CA7C-56BB-40F3-A548-93A81326AF1A}"/>
            </a:ext>
          </a:extLst>
        </xdr:cNvPr>
        <xdr:cNvSpPr/>
      </xdr:nvSpPr>
      <xdr:spPr>
        <a:xfrm>
          <a:off x="15973425" y="7505700"/>
          <a:ext cx="335796" cy="2091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clientData/>
  </xdr:twoCellAnchor>
  <xdr:twoCellAnchor>
    <xdr:from>
      <xdr:col>14</xdr:col>
      <xdr:colOff>114588</xdr:colOff>
      <xdr:row>48</xdr:row>
      <xdr:rowOff>29762</xdr:rowOff>
    </xdr:from>
    <xdr:to>
      <xdr:col>14</xdr:col>
      <xdr:colOff>352613</xdr:colOff>
      <xdr:row>54</xdr:row>
      <xdr:rowOff>132337</xdr:rowOff>
    </xdr:to>
    <xdr:sp macro="" textlink="">
      <xdr:nvSpPr>
        <xdr:cNvPr id="6209" name="Rectangle 136">
          <a:extLst>
            <a:ext uri="{FF2B5EF4-FFF2-40B4-BE49-F238E27FC236}">
              <a16:creationId xmlns:a16="http://schemas.microsoft.com/office/drawing/2014/main" id="{C6BF7D96-C225-43B4-900C-6C415340B894}"/>
            </a:ext>
          </a:extLst>
        </xdr:cNvPr>
        <xdr:cNvSpPr/>
      </xdr:nvSpPr>
      <xdr:spPr>
        <a:xfrm rot="16200000">
          <a:off x="8173788" y="8896487"/>
          <a:ext cx="1188425" cy="238025"/>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clientData/>
  </xdr:twoCellAnchor>
  <xdr:twoCellAnchor>
    <xdr:from>
      <xdr:col>15</xdr:col>
      <xdr:colOff>85730</xdr:colOff>
      <xdr:row>48</xdr:row>
      <xdr:rowOff>26587</xdr:rowOff>
    </xdr:from>
    <xdr:to>
      <xdr:col>15</xdr:col>
      <xdr:colOff>454025</xdr:colOff>
      <xdr:row>54</xdr:row>
      <xdr:rowOff>171512</xdr:rowOff>
    </xdr:to>
    <xdr:sp macro="" textlink="">
      <xdr:nvSpPr>
        <xdr:cNvPr id="6210" name="Rectangle 137">
          <a:extLst>
            <a:ext uri="{FF2B5EF4-FFF2-40B4-BE49-F238E27FC236}">
              <a16:creationId xmlns:a16="http://schemas.microsoft.com/office/drawing/2014/main" id="{7708AD8C-2952-4DB9-92E7-40E355054366}"/>
            </a:ext>
          </a:extLst>
        </xdr:cNvPr>
        <xdr:cNvSpPr/>
      </xdr:nvSpPr>
      <xdr:spPr>
        <a:xfrm rot="16200000">
          <a:off x="8798490" y="9030327"/>
          <a:ext cx="1230775" cy="368295"/>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clientData/>
  </xdr:twoCellAnchor>
  <xdr:twoCellAnchor>
    <xdr:from>
      <xdr:col>16</xdr:col>
      <xdr:colOff>88312</xdr:colOff>
      <xdr:row>48</xdr:row>
      <xdr:rowOff>26586</xdr:rowOff>
    </xdr:from>
    <xdr:to>
      <xdr:col>16</xdr:col>
      <xdr:colOff>535562</xdr:colOff>
      <xdr:row>54</xdr:row>
      <xdr:rowOff>171511</xdr:rowOff>
    </xdr:to>
    <xdr:sp macro="" textlink="">
      <xdr:nvSpPr>
        <xdr:cNvPr id="6207" name="Rectangle 138">
          <a:extLst>
            <a:ext uri="{FF2B5EF4-FFF2-40B4-BE49-F238E27FC236}">
              <a16:creationId xmlns:a16="http://schemas.microsoft.com/office/drawing/2014/main" id="{D155227A-DE66-4421-82FD-78A9863B51AA}"/>
            </a:ext>
          </a:extLst>
        </xdr:cNvPr>
        <xdr:cNvSpPr/>
      </xdr:nvSpPr>
      <xdr:spPr>
        <a:xfrm rot="16200000">
          <a:off x="9450149" y="8809874"/>
          <a:ext cx="1230775" cy="44725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clientData/>
  </xdr:twoCellAnchor>
  <xdr:twoCellAnchor>
    <xdr:from>
      <xdr:col>17</xdr:col>
      <xdr:colOff>114718</xdr:colOff>
      <xdr:row>48</xdr:row>
      <xdr:rowOff>26586</xdr:rowOff>
    </xdr:from>
    <xdr:to>
      <xdr:col>17</xdr:col>
      <xdr:colOff>561968</xdr:colOff>
      <xdr:row>54</xdr:row>
      <xdr:rowOff>171511</xdr:rowOff>
    </xdr:to>
    <xdr:sp macro="" textlink="">
      <xdr:nvSpPr>
        <xdr:cNvPr id="6208" name="Rectangle 139">
          <a:extLst>
            <a:ext uri="{FF2B5EF4-FFF2-40B4-BE49-F238E27FC236}">
              <a16:creationId xmlns:a16="http://schemas.microsoft.com/office/drawing/2014/main" id="{B13C777B-CB52-4F36-A33C-65AD913E2554}"/>
            </a:ext>
          </a:extLst>
        </xdr:cNvPr>
        <xdr:cNvSpPr/>
      </xdr:nvSpPr>
      <xdr:spPr>
        <a:xfrm rot="16200000">
          <a:off x="10086155" y="8809874"/>
          <a:ext cx="1230775" cy="44725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clientData/>
  </xdr:twoCellAnchor>
  <xdr:twoCellAnchor>
    <xdr:from>
      <xdr:col>18</xdr:col>
      <xdr:colOff>193512</xdr:colOff>
      <xdr:row>48</xdr:row>
      <xdr:rowOff>10711</xdr:rowOff>
    </xdr:from>
    <xdr:to>
      <xdr:col>18</xdr:col>
      <xdr:colOff>431537</xdr:colOff>
      <xdr:row>54</xdr:row>
      <xdr:rowOff>113286</xdr:rowOff>
    </xdr:to>
    <xdr:sp macro="" textlink="">
      <xdr:nvSpPr>
        <xdr:cNvPr id="6220" name="Rectangle 141">
          <a:extLst>
            <a:ext uri="{FF2B5EF4-FFF2-40B4-BE49-F238E27FC236}">
              <a16:creationId xmlns:a16="http://schemas.microsoft.com/office/drawing/2014/main" id="{C2D82FC3-CFFD-450A-A215-5CAE562B0862}"/>
            </a:ext>
          </a:extLst>
        </xdr:cNvPr>
        <xdr:cNvSpPr/>
      </xdr:nvSpPr>
      <xdr:spPr>
        <a:xfrm rot="16200000">
          <a:off x="10752344" y="9549629"/>
          <a:ext cx="1245575" cy="238025"/>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clientData/>
  </xdr:twoCellAnchor>
  <xdr:twoCellAnchor>
    <xdr:from>
      <xdr:col>19</xdr:col>
      <xdr:colOff>136073</xdr:colOff>
      <xdr:row>48</xdr:row>
      <xdr:rowOff>7535</xdr:rowOff>
    </xdr:from>
    <xdr:to>
      <xdr:col>19</xdr:col>
      <xdr:colOff>519794</xdr:colOff>
      <xdr:row>54</xdr:row>
      <xdr:rowOff>152460</xdr:rowOff>
    </xdr:to>
    <xdr:sp macro="" textlink="">
      <xdr:nvSpPr>
        <xdr:cNvPr id="6222" name="Rectangle 142">
          <a:extLst>
            <a:ext uri="{FF2B5EF4-FFF2-40B4-BE49-F238E27FC236}">
              <a16:creationId xmlns:a16="http://schemas.microsoft.com/office/drawing/2014/main" id="{94E668A9-51AD-4CA5-A7E9-8AFC7CA8E10D}"/>
            </a:ext>
          </a:extLst>
        </xdr:cNvPr>
        <xdr:cNvSpPr/>
      </xdr:nvSpPr>
      <xdr:spPr>
        <a:xfrm rot="16200000">
          <a:off x="11358900" y="9494780"/>
          <a:ext cx="1287925" cy="38372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clientData/>
  </xdr:twoCellAnchor>
  <xdr:twoCellAnchor>
    <xdr:from>
      <xdr:col>20</xdr:col>
      <xdr:colOff>167236</xdr:colOff>
      <xdr:row>48</xdr:row>
      <xdr:rowOff>7535</xdr:rowOff>
    </xdr:from>
    <xdr:to>
      <xdr:col>21</xdr:col>
      <xdr:colOff>4886</xdr:colOff>
      <xdr:row>54</xdr:row>
      <xdr:rowOff>152460</xdr:rowOff>
    </xdr:to>
    <xdr:sp macro="" textlink="">
      <xdr:nvSpPr>
        <xdr:cNvPr id="6219" name="Rectangle 143">
          <a:extLst>
            <a:ext uri="{FF2B5EF4-FFF2-40B4-BE49-F238E27FC236}">
              <a16:creationId xmlns:a16="http://schemas.microsoft.com/office/drawing/2014/main" id="{BBAB12A7-0A12-414F-AAED-7D3145B3EEA1}"/>
            </a:ext>
          </a:extLst>
        </xdr:cNvPr>
        <xdr:cNvSpPr/>
      </xdr:nvSpPr>
      <xdr:spPr>
        <a:xfrm rot="16200000">
          <a:off x="12035509" y="9461655"/>
          <a:ext cx="1287925" cy="44997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clientData/>
  </xdr:twoCellAnchor>
  <xdr:twoCellAnchor>
    <xdr:from>
      <xdr:col>21</xdr:col>
      <xdr:colOff>193642</xdr:colOff>
      <xdr:row>48</xdr:row>
      <xdr:rowOff>7535</xdr:rowOff>
    </xdr:from>
    <xdr:to>
      <xdr:col>22</xdr:col>
      <xdr:colOff>31292</xdr:colOff>
      <xdr:row>54</xdr:row>
      <xdr:rowOff>152460</xdr:rowOff>
    </xdr:to>
    <xdr:sp macro="" textlink="">
      <xdr:nvSpPr>
        <xdr:cNvPr id="6221" name="Rectangle 144">
          <a:extLst>
            <a:ext uri="{FF2B5EF4-FFF2-40B4-BE49-F238E27FC236}">
              <a16:creationId xmlns:a16="http://schemas.microsoft.com/office/drawing/2014/main" id="{FA1BADBC-3EB4-4E83-BF28-8A9855645AED}"/>
            </a:ext>
          </a:extLst>
        </xdr:cNvPr>
        <xdr:cNvSpPr/>
      </xdr:nvSpPr>
      <xdr:spPr>
        <a:xfrm rot="16200000">
          <a:off x="12674236" y="9461655"/>
          <a:ext cx="1287925" cy="449972"/>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clientData/>
  </xdr:twoCellAnchor>
  <xdr:twoCellAnchor>
    <xdr:from>
      <xdr:col>22</xdr:col>
      <xdr:colOff>384013</xdr:colOff>
      <xdr:row>48</xdr:row>
      <xdr:rowOff>1187</xdr:rowOff>
    </xdr:from>
    <xdr:to>
      <xdr:col>23</xdr:col>
      <xdr:colOff>12438</xdr:colOff>
      <xdr:row>54</xdr:row>
      <xdr:rowOff>103762</xdr:rowOff>
    </xdr:to>
    <xdr:sp macro="" textlink="">
      <xdr:nvSpPr>
        <xdr:cNvPr id="6233" name="Rectangle 145">
          <a:extLst>
            <a:ext uri="{FF2B5EF4-FFF2-40B4-BE49-F238E27FC236}">
              <a16:creationId xmlns:a16="http://schemas.microsoft.com/office/drawing/2014/main" id="{07408BC3-8652-4154-9AE1-E78DD77BFB73}"/>
            </a:ext>
          </a:extLst>
        </xdr:cNvPr>
        <xdr:cNvSpPr/>
      </xdr:nvSpPr>
      <xdr:spPr>
        <a:xfrm rot="16200000">
          <a:off x="13393491" y="9538745"/>
          <a:ext cx="1245575" cy="240746"/>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clientData/>
  </xdr:twoCellAnchor>
  <xdr:twoCellAnchor>
    <xdr:from>
      <xdr:col>23</xdr:col>
      <xdr:colOff>326577</xdr:colOff>
      <xdr:row>48</xdr:row>
      <xdr:rowOff>1187</xdr:rowOff>
    </xdr:from>
    <xdr:to>
      <xdr:col>24</xdr:col>
      <xdr:colOff>88451</xdr:colOff>
      <xdr:row>54</xdr:row>
      <xdr:rowOff>142937</xdr:rowOff>
    </xdr:to>
    <xdr:sp macro="" textlink="">
      <xdr:nvSpPr>
        <xdr:cNvPr id="6231" name="Rectangle 146">
          <a:extLst>
            <a:ext uri="{FF2B5EF4-FFF2-40B4-BE49-F238E27FC236}">
              <a16:creationId xmlns:a16="http://schemas.microsoft.com/office/drawing/2014/main" id="{49EA7DE0-86C5-423F-805D-B0B970CD7616}"/>
            </a:ext>
          </a:extLst>
        </xdr:cNvPr>
        <xdr:cNvSpPr/>
      </xdr:nvSpPr>
      <xdr:spPr>
        <a:xfrm rot="16200000">
          <a:off x="13995514" y="9491607"/>
          <a:ext cx="1284750" cy="374196"/>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clientData/>
  </xdr:twoCellAnchor>
  <xdr:twoCellAnchor>
    <xdr:from>
      <xdr:col>24</xdr:col>
      <xdr:colOff>357737</xdr:colOff>
      <xdr:row>47</xdr:row>
      <xdr:rowOff>178986</xdr:rowOff>
    </xdr:from>
    <xdr:to>
      <xdr:col>25</xdr:col>
      <xdr:colOff>195387</xdr:colOff>
      <xdr:row>54</xdr:row>
      <xdr:rowOff>142936</xdr:rowOff>
    </xdr:to>
    <xdr:sp macro="" textlink="">
      <xdr:nvSpPr>
        <xdr:cNvPr id="6234" name="Rectangle 147">
          <a:extLst>
            <a:ext uri="{FF2B5EF4-FFF2-40B4-BE49-F238E27FC236}">
              <a16:creationId xmlns:a16="http://schemas.microsoft.com/office/drawing/2014/main" id="{FD5CEDC0-99AE-4234-9A3E-BA8FAD91792A}"/>
            </a:ext>
          </a:extLst>
        </xdr:cNvPr>
        <xdr:cNvSpPr/>
      </xdr:nvSpPr>
      <xdr:spPr>
        <a:xfrm rot="16200000">
          <a:off x="14670534" y="9447368"/>
          <a:ext cx="1297450" cy="44997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clientData/>
  </xdr:twoCellAnchor>
  <xdr:twoCellAnchor>
    <xdr:from>
      <xdr:col>25</xdr:col>
      <xdr:colOff>384143</xdr:colOff>
      <xdr:row>47</xdr:row>
      <xdr:rowOff>178986</xdr:rowOff>
    </xdr:from>
    <xdr:to>
      <xdr:col>26</xdr:col>
      <xdr:colOff>221793</xdr:colOff>
      <xdr:row>54</xdr:row>
      <xdr:rowOff>142936</xdr:rowOff>
    </xdr:to>
    <xdr:sp macro="" textlink="">
      <xdr:nvSpPr>
        <xdr:cNvPr id="6232" name="Rectangle 148">
          <a:extLst>
            <a:ext uri="{FF2B5EF4-FFF2-40B4-BE49-F238E27FC236}">
              <a16:creationId xmlns:a16="http://schemas.microsoft.com/office/drawing/2014/main" id="{5D33498A-A18E-4C05-9D7F-75B6D04CAA72}"/>
            </a:ext>
          </a:extLst>
        </xdr:cNvPr>
        <xdr:cNvSpPr/>
      </xdr:nvSpPr>
      <xdr:spPr>
        <a:xfrm rot="16200000">
          <a:off x="15309261" y="9447368"/>
          <a:ext cx="1297450" cy="449972"/>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clientData/>
  </xdr:twoCellAnchor>
  <xdr:twoCellAnchor>
    <xdr:from>
      <xdr:col>26</xdr:col>
      <xdr:colOff>490149</xdr:colOff>
      <xdr:row>47</xdr:row>
      <xdr:rowOff>172638</xdr:rowOff>
    </xdr:from>
    <xdr:to>
      <xdr:col>27</xdr:col>
      <xdr:colOff>118574</xdr:colOff>
      <xdr:row>54</xdr:row>
      <xdr:rowOff>97413</xdr:rowOff>
    </xdr:to>
    <xdr:sp macro="" textlink="">
      <xdr:nvSpPr>
        <xdr:cNvPr id="6235" name="Rectangle 149">
          <a:extLst>
            <a:ext uri="{FF2B5EF4-FFF2-40B4-BE49-F238E27FC236}">
              <a16:creationId xmlns:a16="http://schemas.microsoft.com/office/drawing/2014/main" id="{17917863-308E-4270-9025-FE54A1C46FE6}"/>
            </a:ext>
          </a:extLst>
        </xdr:cNvPr>
        <xdr:cNvSpPr/>
      </xdr:nvSpPr>
      <xdr:spPr>
        <a:xfrm rot="16200000">
          <a:off x="15942563" y="9526046"/>
          <a:ext cx="1258275" cy="240746"/>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clientData/>
  </xdr:twoCellAnchor>
  <xdr:twoCellAnchor>
    <xdr:from>
      <xdr:col>27</xdr:col>
      <xdr:colOff>470810</xdr:colOff>
      <xdr:row>47</xdr:row>
      <xdr:rowOff>172638</xdr:rowOff>
    </xdr:from>
    <xdr:to>
      <xdr:col>28</xdr:col>
      <xdr:colOff>270785</xdr:colOff>
      <xdr:row>54</xdr:row>
      <xdr:rowOff>130238</xdr:rowOff>
    </xdr:to>
    <xdr:sp macro="" textlink="">
      <xdr:nvSpPr>
        <xdr:cNvPr id="6236" name="Rectangle 150">
          <a:extLst>
            <a:ext uri="{FF2B5EF4-FFF2-40B4-BE49-F238E27FC236}">
              <a16:creationId xmlns:a16="http://schemas.microsoft.com/office/drawing/2014/main" id="{647F7AF5-7773-4C48-98CE-A8BD145C7B3F}"/>
            </a:ext>
          </a:extLst>
        </xdr:cNvPr>
        <xdr:cNvSpPr/>
      </xdr:nvSpPr>
      <xdr:spPr>
        <a:xfrm rot="16200000">
          <a:off x="16604908" y="9456683"/>
          <a:ext cx="1291100" cy="412296"/>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clientData/>
  </xdr:twoCellAnchor>
  <xdr:twoCellAnchor>
    <xdr:from>
      <xdr:col>28</xdr:col>
      <xdr:colOff>463873</xdr:colOff>
      <xdr:row>47</xdr:row>
      <xdr:rowOff>172637</xdr:rowOff>
    </xdr:from>
    <xdr:to>
      <xdr:col>29</xdr:col>
      <xdr:colOff>301523</xdr:colOff>
      <xdr:row>54</xdr:row>
      <xdr:rowOff>130237</xdr:rowOff>
    </xdr:to>
    <xdr:sp macro="" textlink="">
      <xdr:nvSpPr>
        <xdr:cNvPr id="6237" name="Rectangle 151">
          <a:extLst>
            <a:ext uri="{FF2B5EF4-FFF2-40B4-BE49-F238E27FC236}">
              <a16:creationId xmlns:a16="http://schemas.microsoft.com/office/drawing/2014/main" id="{B2813229-F055-45A4-9C48-B3B4BA3D5B05}"/>
            </a:ext>
          </a:extLst>
        </xdr:cNvPr>
        <xdr:cNvSpPr/>
      </xdr:nvSpPr>
      <xdr:spPr>
        <a:xfrm rot="16200000">
          <a:off x="17229130" y="9437844"/>
          <a:ext cx="1291100" cy="449972"/>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clientData/>
  </xdr:twoCellAnchor>
  <xdr:twoCellAnchor>
    <xdr:from>
      <xdr:col>29</xdr:col>
      <xdr:colOff>490279</xdr:colOff>
      <xdr:row>47</xdr:row>
      <xdr:rowOff>172637</xdr:rowOff>
    </xdr:from>
    <xdr:to>
      <xdr:col>30</xdr:col>
      <xdr:colOff>327929</xdr:colOff>
      <xdr:row>54</xdr:row>
      <xdr:rowOff>130237</xdr:rowOff>
    </xdr:to>
    <xdr:sp macro="" textlink="">
      <xdr:nvSpPr>
        <xdr:cNvPr id="6238" name="Rectangle 152">
          <a:extLst>
            <a:ext uri="{FF2B5EF4-FFF2-40B4-BE49-F238E27FC236}">
              <a16:creationId xmlns:a16="http://schemas.microsoft.com/office/drawing/2014/main" id="{80B6210C-0F37-4EC1-BA97-6A37CD1388A5}"/>
            </a:ext>
          </a:extLst>
        </xdr:cNvPr>
        <xdr:cNvSpPr/>
      </xdr:nvSpPr>
      <xdr:spPr>
        <a:xfrm rot="16200000">
          <a:off x="17867858" y="9437844"/>
          <a:ext cx="1291100" cy="44997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clientData/>
  </xdr:twoCellAnchor>
  <xdr:twoCellAnchor>
    <xdr:from>
      <xdr:col>14</xdr:col>
      <xdr:colOff>333374</xdr:colOff>
      <xdr:row>50</xdr:row>
      <xdr:rowOff>69848</xdr:rowOff>
    </xdr:from>
    <xdr:to>
      <xdr:col>15</xdr:col>
      <xdr:colOff>65858</xdr:colOff>
      <xdr:row>51</xdr:row>
      <xdr:rowOff>107580</xdr:rowOff>
    </xdr:to>
    <xdr:sp macro="" textlink="">
      <xdr:nvSpPr>
        <xdr:cNvPr id="6348" name="Rectangle 153">
          <a:extLst>
            <a:ext uri="{FF2B5EF4-FFF2-40B4-BE49-F238E27FC236}">
              <a16:creationId xmlns:a16="http://schemas.microsoft.com/office/drawing/2014/main" id="{38448F37-011E-4565-8A23-3A9CC43C6123}"/>
            </a:ext>
          </a:extLst>
        </xdr:cNvPr>
        <xdr:cNvSpPr/>
      </xdr:nvSpPr>
      <xdr:spPr>
        <a:xfrm>
          <a:off x="8867774" y="8823323"/>
          <a:ext cx="342084" cy="2187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15</xdr:col>
      <xdr:colOff>384174</xdr:colOff>
      <xdr:row>50</xdr:row>
      <xdr:rowOff>38098</xdr:rowOff>
    </xdr:from>
    <xdr:to>
      <xdr:col>16</xdr:col>
      <xdr:colOff>116658</xdr:colOff>
      <xdr:row>51</xdr:row>
      <xdr:rowOff>75830</xdr:rowOff>
    </xdr:to>
    <xdr:sp macro="" textlink="">
      <xdr:nvSpPr>
        <xdr:cNvPr id="6351" name="Rectangle 154">
          <a:extLst>
            <a:ext uri="{FF2B5EF4-FFF2-40B4-BE49-F238E27FC236}">
              <a16:creationId xmlns:a16="http://schemas.microsoft.com/office/drawing/2014/main" id="{2F7611C6-8930-469A-82EF-9C6F64D8CC54}"/>
            </a:ext>
          </a:extLst>
        </xdr:cNvPr>
        <xdr:cNvSpPr/>
      </xdr:nvSpPr>
      <xdr:spPr>
        <a:xfrm>
          <a:off x="9528174" y="8791573"/>
          <a:ext cx="342084" cy="2187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16</xdr:col>
      <xdr:colOff>488949</xdr:colOff>
      <xdr:row>50</xdr:row>
      <xdr:rowOff>31748</xdr:rowOff>
    </xdr:from>
    <xdr:to>
      <xdr:col>17</xdr:col>
      <xdr:colOff>221433</xdr:colOff>
      <xdr:row>51</xdr:row>
      <xdr:rowOff>69480</xdr:rowOff>
    </xdr:to>
    <xdr:sp macro="" textlink="">
      <xdr:nvSpPr>
        <xdr:cNvPr id="6354" name="Rectangle 155">
          <a:extLst>
            <a:ext uri="{FF2B5EF4-FFF2-40B4-BE49-F238E27FC236}">
              <a16:creationId xmlns:a16="http://schemas.microsoft.com/office/drawing/2014/main" id="{EBAE5F18-3DF9-4230-BD86-7574E89559F1}"/>
            </a:ext>
          </a:extLst>
        </xdr:cNvPr>
        <xdr:cNvSpPr/>
      </xdr:nvSpPr>
      <xdr:spPr>
        <a:xfrm>
          <a:off x="10242549" y="8785223"/>
          <a:ext cx="342084" cy="2187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18</xdr:col>
      <xdr:colOff>472169</xdr:colOff>
      <xdr:row>50</xdr:row>
      <xdr:rowOff>19048</xdr:rowOff>
    </xdr:from>
    <xdr:to>
      <xdr:col>19</xdr:col>
      <xdr:colOff>201931</xdr:colOff>
      <xdr:row>51</xdr:row>
      <xdr:rowOff>56780</xdr:rowOff>
    </xdr:to>
    <xdr:sp macro="" textlink="">
      <xdr:nvSpPr>
        <xdr:cNvPr id="6357" name="Rectangle 156">
          <a:extLst>
            <a:ext uri="{FF2B5EF4-FFF2-40B4-BE49-F238E27FC236}">
              <a16:creationId xmlns:a16="http://schemas.microsoft.com/office/drawing/2014/main" id="{C3E16CC0-1AA9-40B1-B126-4F805695B2D0}"/>
            </a:ext>
          </a:extLst>
        </xdr:cNvPr>
        <xdr:cNvSpPr/>
      </xdr:nvSpPr>
      <xdr:spPr>
        <a:xfrm>
          <a:off x="11534776" y="9435191"/>
          <a:ext cx="342084"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19</xdr:col>
      <xdr:colOff>475343</xdr:colOff>
      <xdr:row>50</xdr:row>
      <xdr:rowOff>28573</xdr:rowOff>
    </xdr:from>
    <xdr:to>
      <xdr:col>20</xdr:col>
      <xdr:colOff>205106</xdr:colOff>
      <xdr:row>51</xdr:row>
      <xdr:rowOff>66305</xdr:rowOff>
    </xdr:to>
    <xdr:sp macro="" textlink="">
      <xdr:nvSpPr>
        <xdr:cNvPr id="6363" name="Rectangle 157">
          <a:extLst>
            <a:ext uri="{FF2B5EF4-FFF2-40B4-BE49-F238E27FC236}">
              <a16:creationId xmlns:a16="http://schemas.microsoft.com/office/drawing/2014/main" id="{3A17F92F-5FF9-4FEB-964D-43C00294FFE6}"/>
            </a:ext>
          </a:extLst>
        </xdr:cNvPr>
        <xdr:cNvSpPr/>
      </xdr:nvSpPr>
      <xdr:spPr>
        <a:xfrm>
          <a:off x="12150272" y="9444716"/>
          <a:ext cx="342084"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20</xdr:col>
      <xdr:colOff>557893</xdr:colOff>
      <xdr:row>50</xdr:row>
      <xdr:rowOff>12698</xdr:rowOff>
    </xdr:from>
    <xdr:to>
      <xdr:col>21</xdr:col>
      <xdr:colOff>287656</xdr:colOff>
      <xdr:row>51</xdr:row>
      <xdr:rowOff>50430</xdr:rowOff>
    </xdr:to>
    <xdr:sp macro="" textlink="">
      <xdr:nvSpPr>
        <xdr:cNvPr id="6366" name="Rectangle 159">
          <a:extLst>
            <a:ext uri="{FF2B5EF4-FFF2-40B4-BE49-F238E27FC236}">
              <a16:creationId xmlns:a16="http://schemas.microsoft.com/office/drawing/2014/main" id="{1743B89F-A0A4-4817-B29D-CC0220853745}"/>
            </a:ext>
          </a:extLst>
        </xdr:cNvPr>
        <xdr:cNvSpPr/>
      </xdr:nvSpPr>
      <xdr:spPr>
        <a:xfrm>
          <a:off x="12845143" y="9428841"/>
          <a:ext cx="342084"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23</xdr:col>
      <xdr:colOff>2722</xdr:colOff>
      <xdr:row>50</xdr:row>
      <xdr:rowOff>9523</xdr:rowOff>
    </xdr:from>
    <xdr:to>
      <xdr:col>23</xdr:col>
      <xdr:colOff>344806</xdr:colOff>
      <xdr:row>51</xdr:row>
      <xdr:rowOff>47255</xdr:rowOff>
    </xdr:to>
    <xdr:sp macro="" textlink="">
      <xdr:nvSpPr>
        <xdr:cNvPr id="6369" name="Rectangle 160">
          <a:extLst>
            <a:ext uri="{FF2B5EF4-FFF2-40B4-BE49-F238E27FC236}">
              <a16:creationId xmlns:a16="http://schemas.microsoft.com/office/drawing/2014/main" id="{BAB7C82F-2BFD-4058-BC54-A8B9A5C0FE0E}"/>
            </a:ext>
          </a:extLst>
        </xdr:cNvPr>
        <xdr:cNvSpPr/>
      </xdr:nvSpPr>
      <xdr:spPr>
        <a:xfrm>
          <a:off x="14126936" y="9425666"/>
          <a:ext cx="342084"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24</xdr:col>
      <xdr:colOff>69397</xdr:colOff>
      <xdr:row>50</xdr:row>
      <xdr:rowOff>3173</xdr:rowOff>
    </xdr:from>
    <xdr:to>
      <xdr:col>24</xdr:col>
      <xdr:colOff>411481</xdr:colOff>
      <xdr:row>51</xdr:row>
      <xdr:rowOff>40905</xdr:rowOff>
    </xdr:to>
    <xdr:sp macro="" textlink="">
      <xdr:nvSpPr>
        <xdr:cNvPr id="6372" name="Rectangle 161">
          <a:extLst>
            <a:ext uri="{FF2B5EF4-FFF2-40B4-BE49-F238E27FC236}">
              <a16:creationId xmlns:a16="http://schemas.microsoft.com/office/drawing/2014/main" id="{9A51A4DE-2919-46E3-8C50-DD7750E50C0B}"/>
            </a:ext>
          </a:extLst>
        </xdr:cNvPr>
        <xdr:cNvSpPr/>
      </xdr:nvSpPr>
      <xdr:spPr>
        <a:xfrm>
          <a:off x="14805933" y="9419316"/>
          <a:ext cx="342084"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25</xdr:col>
      <xdr:colOff>139247</xdr:colOff>
      <xdr:row>50</xdr:row>
      <xdr:rowOff>3173</xdr:rowOff>
    </xdr:from>
    <xdr:to>
      <xdr:col>25</xdr:col>
      <xdr:colOff>484053</xdr:colOff>
      <xdr:row>51</xdr:row>
      <xdr:rowOff>40905</xdr:rowOff>
    </xdr:to>
    <xdr:sp macro="" textlink="">
      <xdr:nvSpPr>
        <xdr:cNvPr id="6375" name="Rectangle 162">
          <a:extLst>
            <a:ext uri="{FF2B5EF4-FFF2-40B4-BE49-F238E27FC236}">
              <a16:creationId xmlns:a16="http://schemas.microsoft.com/office/drawing/2014/main" id="{72F7ED32-465A-4B18-9C00-5CC26A327B6A}"/>
            </a:ext>
          </a:extLst>
        </xdr:cNvPr>
        <xdr:cNvSpPr/>
      </xdr:nvSpPr>
      <xdr:spPr>
        <a:xfrm>
          <a:off x="15488104" y="9419316"/>
          <a:ext cx="344806"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27</xdr:col>
      <xdr:colOff>159657</xdr:colOff>
      <xdr:row>50</xdr:row>
      <xdr:rowOff>22223</xdr:rowOff>
    </xdr:from>
    <xdr:to>
      <xdr:col>27</xdr:col>
      <xdr:colOff>501741</xdr:colOff>
      <xdr:row>51</xdr:row>
      <xdr:rowOff>56780</xdr:rowOff>
    </xdr:to>
    <xdr:sp macro="" textlink="">
      <xdr:nvSpPr>
        <xdr:cNvPr id="6378" name="Rectangle 163">
          <a:extLst>
            <a:ext uri="{FF2B5EF4-FFF2-40B4-BE49-F238E27FC236}">
              <a16:creationId xmlns:a16="http://schemas.microsoft.com/office/drawing/2014/main" id="{F13DC197-ED64-46FF-A6FA-AC4ACEB3504F}"/>
            </a:ext>
          </a:extLst>
        </xdr:cNvPr>
        <xdr:cNvSpPr/>
      </xdr:nvSpPr>
      <xdr:spPr>
        <a:xfrm>
          <a:off x="16733157" y="9438366"/>
          <a:ext cx="342084" cy="2250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28</xdr:col>
      <xdr:colOff>166007</xdr:colOff>
      <xdr:row>50</xdr:row>
      <xdr:rowOff>12698</xdr:rowOff>
    </xdr:from>
    <xdr:to>
      <xdr:col>28</xdr:col>
      <xdr:colOff>508091</xdr:colOff>
      <xdr:row>51</xdr:row>
      <xdr:rowOff>50430</xdr:rowOff>
    </xdr:to>
    <xdr:sp macro="" textlink="">
      <xdr:nvSpPr>
        <xdr:cNvPr id="6381" name="Rectangle 164">
          <a:extLst>
            <a:ext uri="{FF2B5EF4-FFF2-40B4-BE49-F238E27FC236}">
              <a16:creationId xmlns:a16="http://schemas.microsoft.com/office/drawing/2014/main" id="{C7856B3B-B12F-42BF-897C-27645072D5EC}"/>
            </a:ext>
          </a:extLst>
        </xdr:cNvPr>
        <xdr:cNvSpPr/>
      </xdr:nvSpPr>
      <xdr:spPr>
        <a:xfrm>
          <a:off x="17351828" y="9428841"/>
          <a:ext cx="342084"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29</xdr:col>
      <xdr:colOff>232682</xdr:colOff>
      <xdr:row>49</xdr:row>
      <xdr:rowOff>180973</xdr:rowOff>
    </xdr:from>
    <xdr:to>
      <xdr:col>29</xdr:col>
      <xdr:colOff>577487</xdr:colOff>
      <xdr:row>51</xdr:row>
      <xdr:rowOff>37730</xdr:rowOff>
    </xdr:to>
    <xdr:sp macro="" textlink="">
      <xdr:nvSpPr>
        <xdr:cNvPr id="6382" name="Rectangle 165">
          <a:extLst>
            <a:ext uri="{FF2B5EF4-FFF2-40B4-BE49-F238E27FC236}">
              <a16:creationId xmlns:a16="http://schemas.microsoft.com/office/drawing/2014/main" id="{477D6D0E-9B66-4EE1-9298-42730AA6122D}"/>
            </a:ext>
          </a:extLst>
        </xdr:cNvPr>
        <xdr:cNvSpPr/>
      </xdr:nvSpPr>
      <xdr:spPr>
        <a:xfrm>
          <a:off x="18030825" y="9406616"/>
          <a:ext cx="344805" cy="2377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14</xdr:col>
      <xdr:colOff>38099</xdr:colOff>
      <xdr:row>54</xdr:row>
      <xdr:rowOff>173649</xdr:rowOff>
    </xdr:from>
    <xdr:to>
      <xdr:col>17</xdr:col>
      <xdr:colOff>588899</xdr:colOff>
      <xdr:row>56</xdr:row>
      <xdr:rowOff>76199</xdr:rowOff>
    </xdr:to>
    <xdr:sp macro="" textlink="">
      <xdr:nvSpPr>
        <xdr:cNvPr id="6440" name="Right Brace 167">
          <a:extLst>
            <a:ext uri="{FF2B5EF4-FFF2-40B4-BE49-F238E27FC236}">
              <a16:creationId xmlns:a16="http://schemas.microsoft.com/office/drawing/2014/main" id="{B8ABE2CB-5AE1-4190-8CC3-500D59E57A40}"/>
            </a:ext>
          </a:extLst>
        </xdr:cNvPr>
        <xdr:cNvSpPr/>
      </xdr:nvSpPr>
      <xdr:spPr>
        <a:xfrm rot="16200000" flipV="1">
          <a:off x="9630049" y="8593474"/>
          <a:ext cx="264500" cy="2379600"/>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18</xdr:col>
      <xdr:colOff>174172</xdr:colOff>
      <xdr:row>54</xdr:row>
      <xdr:rowOff>179999</xdr:rowOff>
    </xdr:from>
    <xdr:to>
      <xdr:col>22</xdr:col>
      <xdr:colOff>115372</xdr:colOff>
      <xdr:row>56</xdr:row>
      <xdr:rowOff>88899</xdr:rowOff>
    </xdr:to>
    <xdr:sp macro="" textlink="">
      <xdr:nvSpPr>
        <xdr:cNvPr id="6443" name="Right Brace 168">
          <a:extLst>
            <a:ext uri="{FF2B5EF4-FFF2-40B4-BE49-F238E27FC236}">
              <a16:creationId xmlns:a16="http://schemas.microsoft.com/office/drawing/2014/main" id="{3ADAFD78-B28D-4A22-B9BF-2DCFD59F0C49}"/>
            </a:ext>
          </a:extLst>
        </xdr:cNvPr>
        <xdr:cNvSpPr/>
      </xdr:nvSpPr>
      <xdr:spPr>
        <a:xfrm rot="16200000" flipV="1">
          <a:off x="12287072" y="9307849"/>
          <a:ext cx="289900" cy="2390486"/>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22</xdr:col>
      <xdr:colOff>355147</xdr:colOff>
      <xdr:row>54</xdr:row>
      <xdr:rowOff>173649</xdr:rowOff>
    </xdr:from>
    <xdr:to>
      <xdr:col>26</xdr:col>
      <xdr:colOff>296347</xdr:colOff>
      <xdr:row>56</xdr:row>
      <xdr:rowOff>76199</xdr:rowOff>
    </xdr:to>
    <xdr:sp macro="" textlink="">
      <xdr:nvSpPr>
        <xdr:cNvPr id="6446" name="Right Brace 169">
          <a:extLst>
            <a:ext uri="{FF2B5EF4-FFF2-40B4-BE49-F238E27FC236}">
              <a16:creationId xmlns:a16="http://schemas.microsoft.com/office/drawing/2014/main" id="{19F29A92-A06E-4F54-83F3-3CFF35327F62}"/>
            </a:ext>
          </a:extLst>
        </xdr:cNvPr>
        <xdr:cNvSpPr/>
      </xdr:nvSpPr>
      <xdr:spPr>
        <a:xfrm rot="16200000" flipV="1">
          <a:off x="14920508" y="9298324"/>
          <a:ext cx="283550" cy="2390486"/>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26</xdr:col>
      <xdr:colOff>490311</xdr:colOff>
      <xdr:row>54</xdr:row>
      <xdr:rowOff>173649</xdr:rowOff>
    </xdr:from>
    <xdr:to>
      <xdr:col>30</xdr:col>
      <xdr:colOff>428790</xdr:colOff>
      <xdr:row>56</xdr:row>
      <xdr:rowOff>76199</xdr:rowOff>
    </xdr:to>
    <xdr:sp macro="" textlink="">
      <xdr:nvSpPr>
        <xdr:cNvPr id="6447" name="Right Brace 170">
          <a:extLst>
            <a:ext uri="{FF2B5EF4-FFF2-40B4-BE49-F238E27FC236}">
              <a16:creationId xmlns:a16="http://schemas.microsoft.com/office/drawing/2014/main" id="{2C999773-1A5F-4095-8587-3099159CDAB4}"/>
            </a:ext>
          </a:extLst>
        </xdr:cNvPr>
        <xdr:cNvSpPr/>
      </xdr:nvSpPr>
      <xdr:spPr>
        <a:xfrm rot="16200000" flipV="1">
          <a:off x="17503597" y="9299685"/>
          <a:ext cx="283550" cy="2387764"/>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14</xdr:col>
      <xdr:colOff>85724</xdr:colOff>
      <xdr:row>56</xdr:row>
      <xdr:rowOff>76198</xdr:rowOff>
    </xdr:from>
    <xdr:to>
      <xdr:col>17</xdr:col>
      <xdr:colOff>448855</xdr:colOff>
      <xdr:row>58</xdr:row>
      <xdr:rowOff>150856</xdr:rowOff>
    </xdr:to>
    <xdr:sp macro="" textlink="">
      <xdr:nvSpPr>
        <xdr:cNvPr id="6578" name="Rectangle 171">
          <a:extLst>
            <a:ext uri="{FF2B5EF4-FFF2-40B4-BE49-F238E27FC236}">
              <a16:creationId xmlns:a16="http://schemas.microsoft.com/office/drawing/2014/main" id="{A26F2E9E-2DEB-46BF-AE46-E427D99F7345}"/>
            </a:ext>
          </a:extLst>
        </xdr:cNvPr>
        <xdr:cNvSpPr/>
      </xdr:nvSpPr>
      <xdr:spPr>
        <a:xfrm>
          <a:off x="8620124" y="9915523"/>
          <a:ext cx="2191931" cy="43660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 </a:t>
          </a:r>
          <a:endParaRPr lang="en-GB" sz="1200" i="1">
            <a:solidFill>
              <a:schemeClr val="tx1"/>
            </a:solidFill>
          </a:endParaRPr>
        </a:p>
      </xdr:txBody>
    </xdr:sp>
    <xdr:clientData/>
  </xdr:twoCellAnchor>
  <xdr:twoCellAnchor>
    <xdr:from>
      <xdr:col>18</xdr:col>
      <xdr:colOff>269422</xdr:colOff>
      <xdr:row>56</xdr:row>
      <xdr:rowOff>76198</xdr:rowOff>
    </xdr:from>
    <xdr:to>
      <xdr:col>22</xdr:col>
      <xdr:colOff>22953</xdr:colOff>
      <xdr:row>58</xdr:row>
      <xdr:rowOff>150856</xdr:rowOff>
    </xdr:to>
    <xdr:sp macro="" textlink="">
      <xdr:nvSpPr>
        <xdr:cNvPr id="6577" name="Rectangle 172">
          <a:extLst>
            <a:ext uri="{FF2B5EF4-FFF2-40B4-BE49-F238E27FC236}">
              <a16:creationId xmlns:a16="http://schemas.microsoft.com/office/drawing/2014/main" id="{F01FCFA1-DFDF-4036-9096-8EA13A0EFFC1}"/>
            </a:ext>
          </a:extLst>
        </xdr:cNvPr>
        <xdr:cNvSpPr/>
      </xdr:nvSpPr>
      <xdr:spPr>
        <a:xfrm>
          <a:off x="11332029" y="10635341"/>
          <a:ext cx="2202817" cy="45565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 </a:t>
          </a:r>
          <a:endParaRPr lang="en-GB" sz="1200" i="1">
            <a:solidFill>
              <a:schemeClr val="tx1"/>
            </a:solidFill>
          </a:endParaRPr>
        </a:p>
      </xdr:txBody>
    </xdr:sp>
    <xdr:clientData/>
  </xdr:twoCellAnchor>
  <xdr:twoCellAnchor>
    <xdr:from>
      <xdr:col>22</xdr:col>
      <xdr:colOff>462644</xdr:colOff>
      <xdr:row>56</xdr:row>
      <xdr:rowOff>76198</xdr:rowOff>
    </xdr:from>
    <xdr:to>
      <xdr:col>26</xdr:col>
      <xdr:colOff>213454</xdr:colOff>
      <xdr:row>58</xdr:row>
      <xdr:rowOff>150856</xdr:rowOff>
    </xdr:to>
    <xdr:sp macro="" textlink="">
      <xdr:nvSpPr>
        <xdr:cNvPr id="6576" name="Rectangle 173">
          <a:extLst>
            <a:ext uri="{FF2B5EF4-FFF2-40B4-BE49-F238E27FC236}">
              <a16:creationId xmlns:a16="http://schemas.microsoft.com/office/drawing/2014/main" id="{D80E76DB-30C2-4E11-A070-B32161C4012F}"/>
            </a:ext>
          </a:extLst>
        </xdr:cNvPr>
        <xdr:cNvSpPr/>
      </xdr:nvSpPr>
      <xdr:spPr>
        <a:xfrm>
          <a:off x="13974537" y="10635341"/>
          <a:ext cx="2200096" cy="45565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 </a:t>
          </a:r>
          <a:endParaRPr lang="en-GB" sz="1200" i="1">
            <a:solidFill>
              <a:schemeClr val="tx1"/>
            </a:solidFill>
          </a:endParaRPr>
        </a:p>
      </xdr:txBody>
    </xdr:sp>
    <xdr:clientData/>
  </xdr:twoCellAnchor>
  <xdr:twoCellAnchor>
    <xdr:from>
      <xdr:col>26</xdr:col>
      <xdr:colOff>572862</xdr:colOff>
      <xdr:row>56</xdr:row>
      <xdr:rowOff>76198</xdr:rowOff>
    </xdr:from>
    <xdr:to>
      <xdr:col>30</xdr:col>
      <xdr:colOff>323672</xdr:colOff>
      <xdr:row>58</xdr:row>
      <xdr:rowOff>150856</xdr:rowOff>
    </xdr:to>
    <xdr:sp macro="" textlink="">
      <xdr:nvSpPr>
        <xdr:cNvPr id="6590" name="Rectangle 174">
          <a:extLst>
            <a:ext uri="{FF2B5EF4-FFF2-40B4-BE49-F238E27FC236}">
              <a16:creationId xmlns:a16="http://schemas.microsoft.com/office/drawing/2014/main" id="{C3E66143-F67E-4E8E-BBDE-F8BBC4E98FD0}"/>
            </a:ext>
          </a:extLst>
        </xdr:cNvPr>
        <xdr:cNvSpPr/>
      </xdr:nvSpPr>
      <xdr:spPr>
        <a:xfrm>
          <a:off x="16534041" y="10635341"/>
          <a:ext cx="2200095" cy="45565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 </a:t>
          </a:r>
          <a:endParaRPr lang="en-GB" sz="1200" i="1">
            <a:solidFill>
              <a:schemeClr val="tx1"/>
            </a:solidFill>
          </a:endParaRPr>
        </a:p>
      </xdr:txBody>
    </xdr:sp>
    <xdr:clientData/>
  </xdr:twoCellAnchor>
  <xdr:twoCellAnchor>
    <xdr:from>
      <xdr:col>26</xdr:col>
      <xdr:colOff>522735</xdr:colOff>
      <xdr:row>34</xdr:row>
      <xdr:rowOff>97582</xdr:rowOff>
    </xdr:from>
    <xdr:to>
      <xdr:col>30</xdr:col>
      <xdr:colOff>468442</xdr:colOff>
      <xdr:row>37</xdr:row>
      <xdr:rowOff>29508</xdr:rowOff>
    </xdr:to>
    <xdr:sp macro="" textlink="">
      <xdr:nvSpPr>
        <xdr:cNvPr id="6458" name="TextBox 52">
          <a:extLst>
            <a:ext uri="{FF2B5EF4-FFF2-40B4-BE49-F238E27FC236}">
              <a16:creationId xmlns:a16="http://schemas.microsoft.com/office/drawing/2014/main" id="{8F010B29-2211-412E-A45E-2DB5FB3BDF98}"/>
            </a:ext>
          </a:extLst>
        </xdr:cNvPr>
        <xdr:cNvSpPr txBox="1"/>
      </xdr:nvSpPr>
      <xdr:spPr>
        <a:xfrm>
          <a:off x="16434169" y="6296639"/>
          <a:ext cx="2381609" cy="49405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Pathway is unlikely</a:t>
          </a:r>
          <a:r>
            <a:rPr lang="en-GB" sz="1100" baseline="0"/>
            <a:t> to be </a:t>
          </a:r>
          <a:r>
            <a:rPr lang="en-GB" sz="1100"/>
            <a:t>compliant</a:t>
          </a:r>
          <a:r>
            <a:rPr lang="en-GB" sz="1100" baseline="0"/>
            <a:t> with the GHG emissions threshold.</a:t>
          </a:r>
          <a:endParaRPr lang="en-GB" sz="1100"/>
        </a:p>
      </xdr:txBody>
    </xdr:sp>
    <xdr:clientData/>
  </xdr:twoCellAnchor>
  <xdr:twoCellAnchor>
    <xdr:from>
      <xdr:col>8</xdr:col>
      <xdr:colOff>204375</xdr:colOff>
      <xdr:row>31</xdr:row>
      <xdr:rowOff>179906</xdr:rowOff>
    </xdr:from>
    <xdr:to>
      <xdr:col>11</xdr:col>
      <xdr:colOff>505446</xdr:colOff>
      <xdr:row>33</xdr:row>
      <xdr:rowOff>128103</xdr:rowOff>
    </xdr:to>
    <xdr:sp macro="" textlink="">
      <xdr:nvSpPr>
        <xdr:cNvPr id="165" name="TextBox 54">
          <a:extLst>
            <a:ext uri="{FF2B5EF4-FFF2-40B4-BE49-F238E27FC236}">
              <a16:creationId xmlns:a16="http://schemas.microsoft.com/office/drawing/2014/main" id="{BA6A9B9D-8540-4B85-9E4E-38C5E13465E0}"/>
            </a:ext>
          </a:extLst>
        </xdr:cNvPr>
        <xdr:cNvSpPr txBox="1"/>
      </xdr:nvSpPr>
      <xdr:spPr>
        <a:xfrm>
          <a:off x="5130436" y="5885285"/>
          <a:ext cx="2119480" cy="3138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Pathway cumulative efficiency.</a:t>
          </a:r>
        </a:p>
      </xdr:txBody>
    </xdr:sp>
    <xdr:clientData/>
  </xdr:twoCellAnchor>
  <xdr:twoCellAnchor>
    <xdr:from>
      <xdr:col>8</xdr:col>
      <xdr:colOff>585619</xdr:colOff>
      <xdr:row>29</xdr:row>
      <xdr:rowOff>153920</xdr:rowOff>
    </xdr:from>
    <xdr:to>
      <xdr:col>10</xdr:col>
      <xdr:colOff>372299</xdr:colOff>
      <xdr:row>31</xdr:row>
      <xdr:rowOff>64226</xdr:rowOff>
    </xdr:to>
    <xdr:sp macro="" textlink="">
      <xdr:nvSpPr>
        <xdr:cNvPr id="171" name="Rectangle 53">
          <a:extLst>
            <a:ext uri="{FF2B5EF4-FFF2-40B4-BE49-F238E27FC236}">
              <a16:creationId xmlns:a16="http://schemas.microsoft.com/office/drawing/2014/main" id="{EBACE01B-1BD7-4948-8A34-D475CBEDCDB6}"/>
            </a:ext>
          </a:extLst>
        </xdr:cNvPr>
        <xdr:cNvSpPr/>
      </xdr:nvSpPr>
      <xdr:spPr>
        <a:xfrm>
          <a:off x="5535496" y="5603469"/>
          <a:ext cx="1004631" cy="28506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273942</xdr:colOff>
      <xdr:row>10</xdr:row>
      <xdr:rowOff>161925</xdr:rowOff>
    </xdr:from>
    <xdr:to>
      <xdr:col>9</xdr:col>
      <xdr:colOff>27970</xdr:colOff>
      <xdr:row>29</xdr:row>
      <xdr:rowOff>131634</xdr:rowOff>
    </xdr:to>
    <xdr:sp macro="" textlink="">
      <xdr:nvSpPr>
        <xdr:cNvPr id="6756" name="Rectangle 80">
          <a:extLst>
            <a:ext uri="{FF2B5EF4-FFF2-40B4-BE49-F238E27FC236}">
              <a16:creationId xmlns:a16="http://schemas.microsoft.com/office/drawing/2014/main" id="{02F28B66-C5B4-4BFE-B0FB-A57D070CD917}"/>
            </a:ext>
          </a:extLst>
        </xdr:cNvPr>
        <xdr:cNvSpPr/>
      </xdr:nvSpPr>
      <xdr:spPr>
        <a:xfrm>
          <a:off x="4005868" y="2051310"/>
          <a:ext cx="1580954" cy="352987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385837</xdr:colOff>
      <xdr:row>11</xdr:row>
      <xdr:rowOff>30094</xdr:rowOff>
    </xdr:from>
    <xdr:to>
      <xdr:col>8</xdr:col>
      <xdr:colOff>34193</xdr:colOff>
      <xdr:row>12</xdr:row>
      <xdr:rowOff>6761</xdr:rowOff>
    </xdr:to>
    <xdr:sp macro="" textlink="">
      <xdr:nvSpPr>
        <xdr:cNvPr id="150" name="Rectangle 81">
          <a:extLst>
            <a:ext uri="{FF2B5EF4-FFF2-40B4-BE49-F238E27FC236}">
              <a16:creationId xmlns:a16="http://schemas.microsoft.com/office/drawing/2014/main" id="{3A8DEE95-F200-4F7B-B1AB-123C700FB885}"/>
            </a:ext>
          </a:extLst>
        </xdr:cNvPr>
        <xdr:cNvSpPr/>
      </xdr:nvSpPr>
      <xdr:spPr>
        <a:xfrm>
          <a:off x="4726739" y="2106856"/>
          <a:ext cx="257331" cy="1640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b="1">
              <a:solidFill>
                <a:srgbClr val="FF0000"/>
              </a:solidFill>
            </a:rPr>
            <a:t>1</a:t>
          </a:r>
        </a:p>
      </xdr:txBody>
    </xdr:sp>
    <xdr:clientData/>
  </xdr:twoCellAnchor>
  <xdr:twoCellAnchor>
    <xdr:from>
      <xdr:col>13</xdr:col>
      <xdr:colOff>217300</xdr:colOff>
      <xdr:row>11</xdr:row>
      <xdr:rowOff>8055</xdr:rowOff>
    </xdr:from>
    <xdr:to>
      <xdr:col>13</xdr:col>
      <xdr:colOff>453245</xdr:colOff>
      <xdr:row>12</xdr:row>
      <xdr:rowOff>12450</xdr:rowOff>
    </xdr:to>
    <xdr:sp macro="" textlink="">
      <xdr:nvSpPr>
        <xdr:cNvPr id="133" name="Rectangle 83">
          <a:extLst>
            <a:ext uri="{FF2B5EF4-FFF2-40B4-BE49-F238E27FC236}">
              <a16:creationId xmlns:a16="http://schemas.microsoft.com/office/drawing/2014/main" id="{3176251D-E175-40B8-BA94-EEC848E0D542}"/>
            </a:ext>
          </a:extLst>
        </xdr:cNvPr>
        <xdr:cNvSpPr/>
      </xdr:nvSpPr>
      <xdr:spPr>
        <a:xfrm>
          <a:off x="8212054" y="2084817"/>
          <a:ext cx="235945" cy="1917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b="1">
              <a:solidFill>
                <a:srgbClr val="FF0000"/>
              </a:solidFill>
            </a:rPr>
            <a:t>2</a:t>
          </a:r>
        </a:p>
      </xdr:txBody>
    </xdr:sp>
    <xdr:clientData/>
  </xdr:twoCellAnchor>
  <xdr:twoCellAnchor>
    <xdr:from>
      <xdr:col>21</xdr:col>
      <xdr:colOff>531637</xdr:colOff>
      <xdr:row>10</xdr:row>
      <xdr:rowOff>174650</xdr:rowOff>
    </xdr:from>
    <xdr:to>
      <xdr:col>22</xdr:col>
      <xdr:colOff>171725</xdr:colOff>
      <xdr:row>11</xdr:row>
      <xdr:rowOff>157667</xdr:rowOff>
    </xdr:to>
    <xdr:sp macro="" textlink="">
      <xdr:nvSpPr>
        <xdr:cNvPr id="134" name="Rectangle 109">
          <a:extLst>
            <a:ext uri="{FF2B5EF4-FFF2-40B4-BE49-F238E27FC236}">
              <a16:creationId xmlns:a16="http://schemas.microsoft.com/office/drawing/2014/main" id="{A056416D-9B8E-4310-A66B-7EC00BBE0A3D}"/>
            </a:ext>
          </a:extLst>
        </xdr:cNvPr>
        <xdr:cNvSpPr/>
      </xdr:nvSpPr>
      <xdr:spPr>
        <a:xfrm>
          <a:off x="13396737" y="2016150"/>
          <a:ext cx="249688" cy="160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b="1">
              <a:solidFill>
                <a:srgbClr val="FF0000"/>
              </a:solidFill>
            </a:rPr>
            <a:t>3</a:t>
          </a:r>
        </a:p>
      </xdr:txBody>
    </xdr:sp>
    <xdr:clientData/>
  </xdr:twoCellAnchor>
  <xdr:twoCellAnchor>
    <xdr:from>
      <xdr:col>9</xdr:col>
      <xdr:colOff>50697</xdr:colOff>
      <xdr:row>10</xdr:row>
      <xdr:rowOff>162361</xdr:rowOff>
    </xdr:from>
    <xdr:to>
      <xdr:col>18</xdr:col>
      <xdr:colOff>171762</xdr:colOff>
      <xdr:row>25</xdr:row>
      <xdr:rowOff>109303</xdr:rowOff>
    </xdr:to>
    <xdr:sp macro="" textlink="">
      <xdr:nvSpPr>
        <xdr:cNvPr id="6742" name="Rectangle 80">
          <a:extLst>
            <a:ext uri="{FF2B5EF4-FFF2-40B4-BE49-F238E27FC236}">
              <a16:creationId xmlns:a16="http://schemas.microsoft.com/office/drawing/2014/main" id="{DBA384D5-5D2C-4824-8352-4B62AE754389}"/>
            </a:ext>
          </a:extLst>
        </xdr:cNvPr>
        <xdr:cNvSpPr/>
      </xdr:nvSpPr>
      <xdr:spPr>
        <a:xfrm>
          <a:off x="5609549" y="2051746"/>
          <a:ext cx="5601844" cy="275759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18</xdr:col>
      <xdr:colOff>171761</xdr:colOff>
      <xdr:row>10</xdr:row>
      <xdr:rowOff>158751</xdr:rowOff>
    </xdr:from>
    <xdr:to>
      <xdr:col>25</xdr:col>
      <xdr:colOff>593360</xdr:colOff>
      <xdr:row>25</xdr:row>
      <xdr:rowOff>107779</xdr:rowOff>
    </xdr:to>
    <xdr:sp macro="" textlink="">
      <xdr:nvSpPr>
        <xdr:cNvPr id="6743" name="Rectangle 80">
          <a:extLst>
            <a:ext uri="{FF2B5EF4-FFF2-40B4-BE49-F238E27FC236}">
              <a16:creationId xmlns:a16="http://schemas.microsoft.com/office/drawing/2014/main" id="{46EBAEFE-1527-4503-AA61-8E36BE490B26}"/>
            </a:ext>
          </a:extLst>
        </xdr:cNvPr>
        <xdr:cNvSpPr/>
      </xdr:nvSpPr>
      <xdr:spPr>
        <a:xfrm>
          <a:off x="11211392" y="2048136"/>
          <a:ext cx="4684427" cy="275968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27</xdr:col>
      <xdr:colOff>402920</xdr:colOff>
      <xdr:row>29</xdr:row>
      <xdr:rowOff>125168</xdr:rowOff>
    </xdr:from>
    <xdr:to>
      <xdr:col>30</xdr:col>
      <xdr:colOff>249836</xdr:colOff>
      <xdr:row>33</xdr:row>
      <xdr:rowOff>93689</xdr:rowOff>
    </xdr:to>
    <xdr:sp macro="" textlink="">
      <xdr:nvSpPr>
        <xdr:cNvPr id="6723" name="Rectangle 53">
          <a:extLst>
            <a:ext uri="{FF2B5EF4-FFF2-40B4-BE49-F238E27FC236}">
              <a16:creationId xmlns:a16="http://schemas.microsoft.com/office/drawing/2014/main" id="{7AB2F1F3-4724-447B-AC7D-237DC7040D6D}"/>
            </a:ext>
          </a:extLst>
        </xdr:cNvPr>
        <xdr:cNvSpPr/>
      </xdr:nvSpPr>
      <xdr:spPr>
        <a:xfrm>
          <a:off x="16923330" y="5574717"/>
          <a:ext cx="1673842" cy="530652"/>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0</xdr:col>
      <xdr:colOff>515471</xdr:colOff>
      <xdr:row>68</xdr:row>
      <xdr:rowOff>1</xdr:rowOff>
    </xdr:from>
    <xdr:to>
      <xdr:col>23</xdr:col>
      <xdr:colOff>278520</xdr:colOff>
      <xdr:row>79</xdr:row>
      <xdr:rowOff>75926</xdr:rowOff>
    </xdr:to>
    <xdr:pic>
      <xdr:nvPicPr>
        <xdr:cNvPr id="166" name="Picture 165">
          <a:extLst>
            <a:ext uri="{FF2B5EF4-FFF2-40B4-BE49-F238E27FC236}">
              <a16:creationId xmlns:a16="http://schemas.microsoft.com/office/drawing/2014/main" id="{E2A6B40B-E53C-468C-BBE3-66DE8FF81ABE}"/>
            </a:ext>
          </a:extLst>
        </xdr:cNvPr>
        <xdr:cNvPicPr>
          <a:picLocks noChangeAspect="1"/>
        </xdr:cNvPicPr>
      </xdr:nvPicPr>
      <xdr:blipFill>
        <a:blip xmlns:r="http://schemas.openxmlformats.org/officeDocument/2006/relationships" r:embed="rId2"/>
        <a:stretch>
          <a:fillRect/>
        </a:stretch>
      </xdr:blipFill>
      <xdr:spPr>
        <a:xfrm>
          <a:off x="515471" y="12438530"/>
          <a:ext cx="13762371" cy="2048161"/>
        </a:xfrm>
        <a:prstGeom prst="rect">
          <a:avLst/>
        </a:prstGeom>
      </xdr:spPr>
    </xdr:pic>
    <xdr:clientData/>
  </xdr:twoCellAnchor>
  <xdr:twoCellAnchor>
    <xdr:from>
      <xdr:col>30</xdr:col>
      <xdr:colOff>190501</xdr:colOff>
      <xdr:row>42</xdr:row>
      <xdr:rowOff>163285</xdr:rowOff>
    </xdr:from>
    <xdr:to>
      <xdr:col>30</xdr:col>
      <xdr:colOff>526297</xdr:colOff>
      <xdr:row>44</xdr:row>
      <xdr:rowOff>991</xdr:rowOff>
    </xdr:to>
    <xdr:sp macro="" textlink="">
      <xdr:nvSpPr>
        <xdr:cNvPr id="2" name="Rectangle 132">
          <a:extLst>
            <a:ext uri="{FF2B5EF4-FFF2-40B4-BE49-F238E27FC236}">
              <a16:creationId xmlns:a16="http://schemas.microsoft.com/office/drawing/2014/main" id="{DE1D94B7-6608-406C-A619-88442785CDE7}"/>
            </a:ext>
          </a:extLst>
        </xdr:cNvPr>
        <xdr:cNvSpPr/>
      </xdr:nvSpPr>
      <xdr:spPr>
        <a:xfrm>
          <a:off x="18600965" y="8055428"/>
          <a:ext cx="335796" cy="218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clientData/>
  </xdr:twoCellAnchor>
  <xdr:twoCellAnchor>
    <xdr:from>
      <xdr:col>30</xdr:col>
      <xdr:colOff>598714</xdr:colOff>
      <xdr:row>41</xdr:row>
      <xdr:rowOff>163286</xdr:rowOff>
    </xdr:from>
    <xdr:to>
      <xdr:col>34</xdr:col>
      <xdr:colOff>258535</xdr:colOff>
      <xdr:row>45</xdr:row>
      <xdr:rowOff>94611</xdr:rowOff>
    </xdr:to>
    <xdr:sp macro="" textlink="">
      <xdr:nvSpPr>
        <xdr:cNvPr id="3" name="Rectangle 124">
          <a:extLst>
            <a:ext uri="{FF2B5EF4-FFF2-40B4-BE49-F238E27FC236}">
              <a16:creationId xmlns:a16="http://schemas.microsoft.com/office/drawing/2014/main" id="{4D427524-8435-4C2B-BA23-CAEF02998387}"/>
            </a:ext>
          </a:extLst>
        </xdr:cNvPr>
        <xdr:cNvSpPr/>
      </xdr:nvSpPr>
      <xdr:spPr>
        <a:xfrm>
          <a:off x="19009178" y="7864929"/>
          <a:ext cx="2109107" cy="693325"/>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i="0" baseline="0">
              <a:solidFill>
                <a:schemeClr val="tx1"/>
              </a:solidFill>
            </a:rPr>
            <a:t>Compression and purification</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clientData/>
  </xdr:twoCellAnchor>
  <xdr:twoCellAnchor>
    <xdr:from>
      <xdr:col>31</xdr:col>
      <xdr:colOff>27215</xdr:colOff>
      <xdr:row>45</xdr:row>
      <xdr:rowOff>149678</xdr:rowOff>
    </xdr:from>
    <xdr:to>
      <xdr:col>34</xdr:col>
      <xdr:colOff>149679</xdr:colOff>
      <xdr:row>47</xdr:row>
      <xdr:rowOff>54427</xdr:rowOff>
    </xdr:to>
    <xdr:sp macro="" textlink="">
      <xdr:nvSpPr>
        <xdr:cNvPr id="4" name="Right Brace 128">
          <a:extLst>
            <a:ext uri="{FF2B5EF4-FFF2-40B4-BE49-F238E27FC236}">
              <a16:creationId xmlns:a16="http://schemas.microsoft.com/office/drawing/2014/main" id="{7DBB6D72-0F3E-482D-B67D-7D7BA567DC1B}"/>
            </a:ext>
          </a:extLst>
        </xdr:cNvPr>
        <xdr:cNvSpPr/>
      </xdr:nvSpPr>
      <xdr:spPr>
        <a:xfrm rot="16200000" flipV="1">
          <a:off x="19886840" y="7776482"/>
          <a:ext cx="285749" cy="1959428"/>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32</xdr:col>
      <xdr:colOff>13899</xdr:colOff>
      <xdr:row>48</xdr:row>
      <xdr:rowOff>3526</xdr:rowOff>
    </xdr:from>
    <xdr:to>
      <xdr:col>32</xdr:col>
      <xdr:colOff>367397</xdr:colOff>
      <xdr:row>54</xdr:row>
      <xdr:rowOff>118801</xdr:rowOff>
    </xdr:to>
    <xdr:sp macro="" textlink="">
      <xdr:nvSpPr>
        <xdr:cNvPr id="5" name="Rectangle 149">
          <a:extLst>
            <a:ext uri="{FF2B5EF4-FFF2-40B4-BE49-F238E27FC236}">
              <a16:creationId xmlns:a16="http://schemas.microsoft.com/office/drawing/2014/main" id="{DE211DA1-E5C3-4FA2-8D0F-67D30EC1B460}"/>
            </a:ext>
          </a:extLst>
        </xdr:cNvPr>
        <xdr:cNvSpPr/>
      </xdr:nvSpPr>
      <xdr:spPr>
        <a:xfrm rot="16200000">
          <a:off x="19196617" y="9491058"/>
          <a:ext cx="1258275" cy="35349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Theoretical</a:t>
          </a:r>
          <a:r>
            <a:rPr lang="en-GB" sz="1200" baseline="0">
              <a:solidFill>
                <a:schemeClr val="tx1"/>
              </a:solidFill>
            </a:rPr>
            <a:t> </a:t>
          </a:r>
          <a:r>
            <a:rPr lang="en-GB" sz="1200">
              <a:solidFill>
                <a:schemeClr val="tx1"/>
              </a:solidFill>
            </a:rPr>
            <a:t>Input</a:t>
          </a:r>
          <a:r>
            <a:rPr lang="en-GB" sz="1200" i="1">
              <a:solidFill>
                <a:schemeClr val="tx1"/>
              </a:solidFill>
            </a:rPr>
            <a:t> n</a:t>
          </a:r>
        </a:p>
      </xdr:txBody>
    </xdr:sp>
    <xdr:clientData/>
  </xdr:twoCellAnchor>
  <xdr:twoCellAnchor>
    <xdr:from>
      <xdr:col>32</xdr:col>
      <xdr:colOff>606881</xdr:colOff>
      <xdr:row>48</xdr:row>
      <xdr:rowOff>3526</xdr:rowOff>
    </xdr:from>
    <xdr:to>
      <xdr:col>33</xdr:col>
      <xdr:colOff>406855</xdr:colOff>
      <xdr:row>54</xdr:row>
      <xdr:rowOff>151626</xdr:rowOff>
    </xdr:to>
    <xdr:sp macro="" textlink="">
      <xdr:nvSpPr>
        <xdr:cNvPr id="6" name="Rectangle 150">
          <a:extLst>
            <a:ext uri="{FF2B5EF4-FFF2-40B4-BE49-F238E27FC236}">
              <a16:creationId xmlns:a16="http://schemas.microsoft.com/office/drawing/2014/main" id="{F780F70B-4D66-4DA7-93DD-BF2912BBBED9}"/>
            </a:ext>
          </a:extLst>
        </xdr:cNvPr>
        <xdr:cNvSpPr/>
      </xdr:nvSpPr>
      <xdr:spPr>
        <a:xfrm rot="16200000">
          <a:off x="19802586" y="9478071"/>
          <a:ext cx="1291100" cy="412296"/>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clientData/>
  </xdr:twoCellAnchor>
  <xdr:twoCellAnchor>
    <xdr:from>
      <xdr:col>32</xdr:col>
      <xdr:colOff>295728</xdr:colOff>
      <xdr:row>50</xdr:row>
      <xdr:rowOff>43611</xdr:rowOff>
    </xdr:from>
    <xdr:to>
      <xdr:col>33</xdr:col>
      <xdr:colOff>25490</xdr:colOff>
      <xdr:row>51</xdr:row>
      <xdr:rowOff>78168</xdr:rowOff>
    </xdr:to>
    <xdr:sp macro="" textlink="">
      <xdr:nvSpPr>
        <xdr:cNvPr id="7" name="Rectangle 163">
          <a:extLst>
            <a:ext uri="{FF2B5EF4-FFF2-40B4-BE49-F238E27FC236}">
              <a16:creationId xmlns:a16="http://schemas.microsoft.com/office/drawing/2014/main" id="{82E877CC-FC53-4560-8E32-1159C3138B44}"/>
            </a:ext>
          </a:extLst>
        </xdr:cNvPr>
        <xdr:cNvSpPr/>
      </xdr:nvSpPr>
      <xdr:spPr>
        <a:xfrm>
          <a:off x="19930835" y="9459754"/>
          <a:ext cx="342084" cy="2250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31</xdr:col>
      <xdr:colOff>122917</xdr:colOff>
      <xdr:row>54</xdr:row>
      <xdr:rowOff>181430</xdr:rowOff>
    </xdr:from>
    <xdr:to>
      <xdr:col>34</xdr:col>
      <xdr:colOff>190500</xdr:colOff>
      <xdr:row>56</xdr:row>
      <xdr:rowOff>68036</xdr:rowOff>
    </xdr:to>
    <xdr:sp macro="" textlink="">
      <xdr:nvSpPr>
        <xdr:cNvPr id="9" name="Right Brace 170">
          <a:extLst>
            <a:ext uri="{FF2B5EF4-FFF2-40B4-BE49-F238E27FC236}">
              <a16:creationId xmlns:a16="http://schemas.microsoft.com/office/drawing/2014/main" id="{8D913A51-7A2E-4C29-A8C1-C6A8C23D25CA}"/>
            </a:ext>
          </a:extLst>
        </xdr:cNvPr>
        <xdr:cNvSpPr/>
      </xdr:nvSpPr>
      <xdr:spPr>
        <a:xfrm rot="16200000" flipV="1">
          <a:off x="19964174" y="9541102"/>
          <a:ext cx="267606" cy="1904547"/>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31</xdr:col>
      <xdr:colOff>164647</xdr:colOff>
      <xdr:row>56</xdr:row>
      <xdr:rowOff>83979</xdr:rowOff>
    </xdr:from>
    <xdr:to>
      <xdr:col>34</xdr:col>
      <xdr:colOff>163286</xdr:colOff>
      <xdr:row>58</xdr:row>
      <xdr:rowOff>158637</xdr:rowOff>
    </xdr:to>
    <xdr:sp macro="" textlink="">
      <xdr:nvSpPr>
        <xdr:cNvPr id="10" name="Rectangle 174">
          <a:extLst>
            <a:ext uri="{FF2B5EF4-FFF2-40B4-BE49-F238E27FC236}">
              <a16:creationId xmlns:a16="http://schemas.microsoft.com/office/drawing/2014/main" id="{F8FD252A-495A-4395-A4D8-D6E51BBE851C}"/>
            </a:ext>
          </a:extLst>
        </xdr:cNvPr>
        <xdr:cNvSpPr/>
      </xdr:nvSpPr>
      <xdr:spPr>
        <a:xfrm>
          <a:off x="19187433" y="10643122"/>
          <a:ext cx="1835603" cy="45565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data </a:t>
          </a:r>
          <a:endParaRPr lang="en-GB" sz="1200" i="1">
            <a:solidFill>
              <a:schemeClr val="tx1"/>
            </a:solidFill>
          </a:endParaRPr>
        </a:p>
      </xdr:txBody>
    </xdr:sp>
    <xdr:clientData/>
  </xdr:twoCellAnchor>
  <xdr:twoCellAnchor editAs="oneCell">
    <xdr:from>
      <xdr:col>1</xdr:col>
      <xdr:colOff>393699</xdr:colOff>
      <xdr:row>81</xdr:row>
      <xdr:rowOff>73025</xdr:rowOff>
    </xdr:from>
    <xdr:to>
      <xdr:col>4</xdr:col>
      <xdr:colOff>289</xdr:colOff>
      <xdr:row>97</xdr:row>
      <xdr:rowOff>47784</xdr:rowOff>
    </xdr:to>
    <xdr:pic>
      <xdr:nvPicPr>
        <xdr:cNvPr id="13" name="Picture 12">
          <a:extLst>
            <a:ext uri="{FF2B5EF4-FFF2-40B4-BE49-F238E27FC236}">
              <a16:creationId xmlns:a16="http://schemas.microsoft.com/office/drawing/2014/main" id="{22240A14-3014-278A-B626-4CA7E4628940}"/>
            </a:ext>
          </a:extLst>
        </xdr:cNvPr>
        <xdr:cNvPicPr>
          <a:picLocks noChangeAspect="1"/>
        </xdr:cNvPicPr>
      </xdr:nvPicPr>
      <xdr:blipFill rotWithShape="1">
        <a:blip xmlns:r="http://schemas.openxmlformats.org/officeDocument/2006/relationships" r:embed="rId3"/>
        <a:srcRect r="4013"/>
        <a:stretch/>
      </xdr:blipFill>
      <xdr:spPr>
        <a:xfrm>
          <a:off x="1003299" y="14960600"/>
          <a:ext cx="1508126" cy="2867184"/>
        </a:xfrm>
        <a:prstGeom prst="rect">
          <a:avLst/>
        </a:prstGeom>
      </xdr:spPr>
    </xdr:pic>
    <xdr:clientData/>
  </xdr:twoCellAnchor>
  <xdr:twoCellAnchor editAs="oneCell">
    <xdr:from>
      <xdr:col>10</xdr:col>
      <xdr:colOff>276226</xdr:colOff>
      <xdr:row>81</xdr:row>
      <xdr:rowOff>114300</xdr:rowOff>
    </xdr:from>
    <xdr:to>
      <xdr:col>12</xdr:col>
      <xdr:colOff>602371</xdr:colOff>
      <xdr:row>97</xdr:row>
      <xdr:rowOff>38100</xdr:rowOff>
    </xdr:to>
    <xdr:pic>
      <xdr:nvPicPr>
        <xdr:cNvPr id="14" name="Picture 13">
          <a:extLst>
            <a:ext uri="{FF2B5EF4-FFF2-40B4-BE49-F238E27FC236}">
              <a16:creationId xmlns:a16="http://schemas.microsoft.com/office/drawing/2014/main" id="{F3369D8A-CEF9-3ECA-9C85-7C872B61BD68}"/>
            </a:ext>
          </a:extLst>
        </xdr:cNvPr>
        <xdr:cNvPicPr>
          <a:picLocks noChangeAspect="1"/>
        </xdr:cNvPicPr>
      </xdr:nvPicPr>
      <xdr:blipFill>
        <a:blip xmlns:r="http://schemas.openxmlformats.org/officeDocument/2006/relationships" r:embed="rId4"/>
        <a:stretch>
          <a:fillRect/>
        </a:stretch>
      </xdr:blipFill>
      <xdr:spPr>
        <a:xfrm>
          <a:off x="6448426" y="15001875"/>
          <a:ext cx="1542170" cy="2819400"/>
        </a:xfrm>
        <a:prstGeom prst="rect">
          <a:avLst/>
        </a:prstGeom>
      </xdr:spPr>
    </xdr:pic>
    <xdr:clientData/>
  </xdr:twoCellAnchor>
  <xdr:twoCellAnchor editAs="oneCell">
    <xdr:from>
      <xdr:col>15</xdr:col>
      <xdr:colOff>304800</xdr:colOff>
      <xdr:row>81</xdr:row>
      <xdr:rowOff>25400</xdr:rowOff>
    </xdr:from>
    <xdr:to>
      <xdr:col>17</xdr:col>
      <xdr:colOff>600879</xdr:colOff>
      <xdr:row>99</xdr:row>
      <xdr:rowOff>95250</xdr:rowOff>
    </xdr:to>
    <xdr:pic>
      <xdr:nvPicPr>
        <xdr:cNvPr id="16" name="Picture 15">
          <a:extLst>
            <a:ext uri="{FF2B5EF4-FFF2-40B4-BE49-F238E27FC236}">
              <a16:creationId xmlns:a16="http://schemas.microsoft.com/office/drawing/2014/main" id="{99EE90DA-E59B-5717-F98F-1C65973C7356}"/>
            </a:ext>
          </a:extLst>
        </xdr:cNvPr>
        <xdr:cNvPicPr>
          <a:picLocks noChangeAspect="1"/>
        </xdr:cNvPicPr>
      </xdr:nvPicPr>
      <xdr:blipFill>
        <a:blip xmlns:r="http://schemas.openxmlformats.org/officeDocument/2006/relationships" r:embed="rId5"/>
        <a:stretch>
          <a:fillRect/>
        </a:stretch>
      </xdr:blipFill>
      <xdr:spPr>
        <a:xfrm>
          <a:off x="9525000" y="14912975"/>
          <a:ext cx="1512104" cy="3327400"/>
        </a:xfrm>
        <a:prstGeom prst="rect">
          <a:avLst/>
        </a:prstGeom>
      </xdr:spPr>
    </xdr:pic>
    <xdr:clientData/>
  </xdr:twoCellAnchor>
  <xdr:twoCellAnchor editAs="oneCell">
    <xdr:from>
      <xdr:col>0</xdr:col>
      <xdr:colOff>558800</xdr:colOff>
      <xdr:row>101</xdr:row>
      <xdr:rowOff>158750</xdr:rowOff>
    </xdr:from>
    <xdr:to>
      <xdr:col>10</xdr:col>
      <xdr:colOff>397714</xdr:colOff>
      <xdr:row>116</xdr:row>
      <xdr:rowOff>44821</xdr:rowOff>
    </xdr:to>
    <xdr:pic>
      <xdr:nvPicPr>
        <xdr:cNvPr id="17" name="Picture 16">
          <a:extLst>
            <a:ext uri="{FF2B5EF4-FFF2-40B4-BE49-F238E27FC236}">
              <a16:creationId xmlns:a16="http://schemas.microsoft.com/office/drawing/2014/main" id="{1F43C375-8782-A2D6-F92D-7BEC2C07B59E}"/>
            </a:ext>
          </a:extLst>
        </xdr:cNvPr>
        <xdr:cNvPicPr>
          <a:picLocks noChangeAspect="1"/>
        </xdr:cNvPicPr>
      </xdr:nvPicPr>
      <xdr:blipFill>
        <a:blip xmlns:r="http://schemas.openxmlformats.org/officeDocument/2006/relationships" r:embed="rId6"/>
        <a:stretch>
          <a:fillRect/>
        </a:stretch>
      </xdr:blipFill>
      <xdr:spPr>
        <a:xfrm>
          <a:off x="558800" y="18980150"/>
          <a:ext cx="6011114" cy="2657846"/>
        </a:xfrm>
        <a:prstGeom prst="rect">
          <a:avLst/>
        </a:prstGeom>
      </xdr:spPr>
    </xdr:pic>
    <xdr:clientData/>
  </xdr:twoCellAnchor>
  <xdr:twoCellAnchor editAs="oneCell">
    <xdr:from>
      <xdr:col>1</xdr:col>
      <xdr:colOff>0</xdr:colOff>
      <xdr:row>132</xdr:row>
      <xdr:rowOff>0</xdr:rowOff>
    </xdr:from>
    <xdr:to>
      <xdr:col>11</xdr:col>
      <xdr:colOff>483529</xdr:colOff>
      <xdr:row>146</xdr:row>
      <xdr:rowOff>1025</xdr:rowOff>
    </xdr:to>
    <xdr:pic>
      <xdr:nvPicPr>
        <xdr:cNvPr id="19" name="Picture 18">
          <a:extLst>
            <a:ext uri="{FF2B5EF4-FFF2-40B4-BE49-F238E27FC236}">
              <a16:creationId xmlns:a16="http://schemas.microsoft.com/office/drawing/2014/main" id="{F7423301-03CB-EB1A-1467-BBC5D2B3F58F}"/>
            </a:ext>
          </a:extLst>
        </xdr:cNvPr>
        <xdr:cNvPicPr>
          <a:picLocks noChangeAspect="1"/>
        </xdr:cNvPicPr>
      </xdr:nvPicPr>
      <xdr:blipFill>
        <a:blip xmlns:r="http://schemas.openxmlformats.org/officeDocument/2006/relationships" r:embed="rId7"/>
        <a:stretch>
          <a:fillRect/>
        </a:stretch>
      </xdr:blipFill>
      <xdr:spPr>
        <a:xfrm>
          <a:off x="609600" y="24574500"/>
          <a:ext cx="6658904" cy="2572109"/>
        </a:xfrm>
        <a:prstGeom prst="rect">
          <a:avLst/>
        </a:prstGeom>
      </xdr:spPr>
    </xdr:pic>
    <xdr:clientData/>
  </xdr:twoCellAnchor>
  <xdr:twoCellAnchor editAs="oneCell">
    <xdr:from>
      <xdr:col>6</xdr:col>
      <xdr:colOff>361950</xdr:colOff>
      <xdr:row>81</xdr:row>
      <xdr:rowOff>95250</xdr:rowOff>
    </xdr:from>
    <xdr:to>
      <xdr:col>9</xdr:col>
      <xdr:colOff>101600</xdr:colOff>
      <xdr:row>99</xdr:row>
      <xdr:rowOff>142482</xdr:rowOff>
    </xdr:to>
    <xdr:pic>
      <xdr:nvPicPr>
        <xdr:cNvPr id="20" name="Picture 19">
          <a:extLst>
            <a:ext uri="{FF2B5EF4-FFF2-40B4-BE49-F238E27FC236}">
              <a16:creationId xmlns:a16="http://schemas.microsoft.com/office/drawing/2014/main" id="{8FDC19DE-0555-4C57-87C9-A6D345BB040D}"/>
            </a:ext>
          </a:extLst>
        </xdr:cNvPr>
        <xdr:cNvPicPr>
          <a:picLocks noChangeAspect="1"/>
        </xdr:cNvPicPr>
      </xdr:nvPicPr>
      <xdr:blipFill>
        <a:blip xmlns:r="http://schemas.openxmlformats.org/officeDocument/2006/relationships" r:embed="rId8"/>
        <a:stretch>
          <a:fillRect/>
        </a:stretch>
      </xdr:blipFill>
      <xdr:spPr>
        <a:xfrm>
          <a:off x="4093876" y="15600701"/>
          <a:ext cx="1569751" cy="34231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3735</xdr:colOff>
      <xdr:row>0</xdr:row>
      <xdr:rowOff>168012</xdr:rowOff>
    </xdr:from>
    <xdr:to>
      <xdr:col>7</xdr:col>
      <xdr:colOff>15715</xdr:colOff>
      <xdr:row>118</xdr:row>
      <xdr:rowOff>21713</xdr:rowOff>
    </xdr:to>
    <xdr:sp macro="" textlink="">
      <xdr:nvSpPr>
        <xdr:cNvPr id="4" name="Rectangle 1">
          <a:extLst>
            <a:ext uri="{FF2B5EF4-FFF2-40B4-BE49-F238E27FC236}">
              <a16:creationId xmlns:a16="http://schemas.microsoft.com/office/drawing/2014/main" id="{ACC60377-E4E3-47E5-BB4A-231B42C22FE4}"/>
            </a:ext>
          </a:extLst>
        </xdr:cNvPr>
        <xdr:cNvSpPr/>
      </xdr:nvSpPr>
      <xdr:spPr>
        <a:xfrm>
          <a:off x="351117" y="168012"/>
          <a:ext cx="18748216" cy="23285201"/>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1291</xdr:colOff>
      <xdr:row>118</xdr:row>
      <xdr:rowOff>28574</xdr:rowOff>
    </xdr:from>
    <xdr:to>
      <xdr:col>7</xdr:col>
      <xdr:colOff>11906</xdr:colOff>
      <xdr:row>137</xdr:row>
      <xdr:rowOff>149679</xdr:rowOff>
    </xdr:to>
    <xdr:sp macro="" textlink="">
      <xdr:nvSpPr>
        <xdr:cNvPr id="2" name="Rectangle 1">
          <a:extLst>
            <a:ext uri="{FF2B5EF4-FFF2-40B4-BE49-F238E27FC236}">
              <a16:creationId xmlns:a16="http://schemas.microsoft.com/office/drawing/2014/main" id="{C09CE003-EDBE-4196-8F44-08CA9A156DAE}"/>
            </a:ext>
          </a:extLst>
        </xdr:cNvPr>
        <xdr:cNvSpPr/>
      </xdr:nvSpPr>
      <xdr:spPr>
        <a:xfrm>
          <a:off x="246220" y="22194610"/>
          <a:ext cx="18910936" cy="3400426"/>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190500</xdr:colOff>
      <xdr:row>2</xdr:row>
      <xdr:rowOff>1</xdr:rowOff>
    </xdr:from>
    <xdr:to>
      <xdr:col>2</xdr:col>
      <xdr:colOff>459554</xdr:colOff>
      <xdr:row>6</xdr:row>
      <xdr:rowOff>114301</xdr:rowOff>
    </xdr:to>
    <xdr:pic>
      <xdr:nvPicPr>
        <xdr:cNvPr id="3" name="Picture 2" descr="DESNZ Logo">
          <a:extLst>
            <a:ext uri="{FF2B5EF4-FFF2-40B4-BE49-F238E27FC236}">
              <a16:creationId xmlns:a16="http://schemas.microsoft.com/office/drawing/2014/main" id="{9659C006-E3F4-42D9-A438-93374C29E4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381001"/>
          <a:ext cx="1807575" cy="1066800"/>
        </a:xfrm>
        <a:prstGeom prst="rect">
          <a:avLst/>
        </a:prstGeom>
      </xdr:spPr>
    </xdr:pic>
    <xdr:clientData/>
  </xdr:twoCellAnchor>
  <xdr:twoCellAnchor editAs="oneCell">
    <xdr:from>
      <xdr:col>4</xdr:col>
      <xdr:colOff>180975</xdr:colOff>
      <xdr:row>119</xdr:row>
      <xdr:rowOff>190500</xdr:rowOff>
    </xdr:from>
    <xdr:to>
      <xdr:col>5</xdr:col>
      <xdr:colOff>124329</xdr:colOff>
      <xdr:row>123</xdr:row>
      <xdr:rowOff>266951</xdr:rowOff>
    </xdr:to>
    <xdr:pic>
      <xdr:nvPicPr>
        <xdr:cNvPr id="6" name="Picture 5">
          <a:extLst>
            <a:ext uri="{FF2B5EF4-FFF2-40B4-BE49-F238E27FC236}">
              <a16:creationId xmlns:a16="http://schemas.microsoft.com/office/drawing/2014/main" id="{659AE0D0-AD78-845D-9A0F-2B98A8BF2B33}"/>
            </a:ext>
          </a:extLst>
        </xdr:cNvPr>
        <xdr:cNvPicPr>
          <a:picLocks noChangeAspect="1"/>
        </xdr:cNvPicPr>
      </xdr:nvPicPr>
      <xdr:blipFill>
        <a:blip xmlns:r="http://schemas.openxmlformats.org/officeDocument/2006/relationships" r:embed="rId2"/>
        <a:stretch>
          <a:fillRect/>
        </a:stretch>
      </xdr:blipFill>
      <xdr:spPr>
        <a:xfrm>
          <a:off x="12954000" y="27412950"/>
          <a:ext cx="3607304" cy="1800476"/>
        </a:xfrm>
        <a:prstGeom prst="rect">
          <a:avLst/>
        </a:prstGeom>
      </xdr:spPr>
    </xdr:pic>
    <xdr:clientData/>
  </xdr:twoCellAnchor>
  <xdr:twoCellAnchor editAs="oneCell">
    <xdr:from>
      <xdr:col>3</xdr:col>
      <xdr:colOff>110378</xdr:colOff>
      <xdr:row>1</xdr:row>
      <xdr:rowOff>171637</xdr:rowOff>
    </xdr:from>
    <xdr:to>
      <xdr:col>3</xdr:col>
      <xdr:colOff>1847849</xdr:colOff>
      <xdr:row>5</xdr:row>
      <xdr:rowOff>107825</xdr:rowOff>
    </xdr:to>
    <xdr:pic>
      <xdr:nvPicPr>
        <xdr:cNvPr id="7" name="Picture 6">
          <a:extLst>
            <a:ext uri="{FF2B5EF4-FFF2-40B4-BE49-F238E27FC236}">
              <a16:creationId xmlns:a16="http://schemas.microsoft.com/office/drawing/2014/main" id="{F92CBD52-1D98-472D-9F31-E3D3CAB1F1D2}"/>
            </a:ext>
          </a:extLst>
        </xdr:cNvPr>
        <xdr:cNvPicPr>
          <a:picLocks noChangeAspect="1"/>
        </xdr:cNvPicPr>
      </xdr:nvPicPr>
      <xdr:blipFill>
        <a:blip xmlns:r="http://schemas.openxmlformats.org/officeDocument/2006/relationships" r:embed="rId3"/>
        <a:stretch>
          <a:fillRect/>
        </a:stretch>
      </xdr:blipFill>
      <xdr:spPr>
        <a:xfrm>
          <a:off x="2167778" y="362137"/>
          <a:ext cx="1737471" cy="7013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623160</xdr:colOff>
      <xdr:row>12</xdr:row>
      <xdr:rowOff>20091</xdr:rowOff>
    </xdr:from>
    <xdr:to>
      <xdr:col>17</xdr:col>
      <xdr:colOff>181473</xdr:colOff>
      <xdr:row>41</xdr:row>
      <xdr:rowOff>167644</xdr:rowOff>
    </xdr:to>
    <xdr:grpSp>
      <xdr:nvGrpSpPr>
        <xdr:cNvPr id="4" name="Group 3">
          <a:extLst>
            <a:ext uri="{FF2B5EF4-FFF2-40B4-BE49-F238E27FC236}">
              <a16:creationId xmlns:a16="http://schemas.microsoft.com/office/drawing/2014/main" id="{C713243C-6E3B-4E9C-9E1A-4E8C9B012D23}"/>
            </a:ext>
          </a:extLst>
        </xdr:cNvPr>
        <xdr:cNvGrpSpPr/>
      </xdr:nvGrpSpPr>
      <xdr:grpSpPr>
        <a:xfrm>
          <a:off x="619985" y="2372766"/>
          <a:ext cx="16417563" cy="5392653"/>
          <a:chOff x="438149" y="1988516"/>
          <a:chExt cx="16135623" cy="5354703"/>
        </a:xfrm>
      </xdr:grpSpPr>
      <xdr:sp macro="" textlink="">
        <xdr:nvSpPr>
          <xdr:cNvPr id="50" name="Arrow: Pentagon 49">
            <a:extLst>
              <a:ext uri="{FF2B5EF4-FFF2-40B4-BE49-F238E27FC236}">
                <a16:creationId xmlns:a16="http://schemas.microsoft.com/office/drawing/2014/main" id="{0068B18D-4C37-492A-98F8-9C9CC848D4D6}"/>
              </a:ext>
            </a:extLst>
          </xdr:cNvPr>
          <xdr:cNvSpPr/>
        </xdr:nvSpPr>
        <xdr:spPr>
          <a:xfrm rot="5400000">
            <a:off x="13704867" y="3268985"/>
            <a:ext cx="364305" cy="963365"/>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54" name="Rectangle 2">
            <a:extLst>
              <a:ext uri="{FF2B5EF4-FFF2-40B4-BE49-F238E27FC236}">
                <a16:creationId xmlns:a16="http://schemas.microsoft.com/office/drawing/2014/main" id="{25D3B6B2-CC9F-41E9-B6CF-BC4C2EC3EE90}"/>
              </a:ext>
            </a:extLst>
          </xdr:cNvPr>
          <xdr:cNvSpPr/>
        </xdr:nvSpPr>
        <xdr:spPr>
          <a:xfrm>
            <a:off x="10081906" y="3937147"/>
            <a:ext cx="3205552" cy="1215370"/>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2000">
                <a:solidFill>
                  <a:schemeClr val="tx1"/>
                </a:solidFill>
              </a:rPr>
              <a:t>ATR + CCS</a:t>
            </a:r>
          </a:p>
        </xdr:txBody>
      </xdr:sp>
      <xdr:sp macro="" textlink="">
        <xdr:nvSpPr>
          <xdr:cNvPr id="155" name="Rectangle 3">
            <a:extLst>
              <a:ext uri="{FF2B5EF4-FFF2-40B4-BE49-F238E27FC236}">
                <a16:creationId xmlns:a16="http://schemas.microsoft.com/office/drawing/2014/main" id="{97068059-1607-47FA-84E2-D40141F48101}"/>
              </a:ext>
            </a:extLst>
          </xdr:cNvPr>
          <xdr:cNvSpPr/>
        </xdr:nvSpPr>
        <xdr:spPr>
          <a:xfrm>
            <a:off x="14569962" y="3961331"/>
            <a:ext cx="2003810" cy="1152796"/>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tx1"/>
                </a:solidFill>
              </a:rPr>
              <a:t>Hydrogen </a:t>
            </a:r>
          </a:p>
          <a:p>
            <a:pPr algn="ctr"/>
            <a:r>
              <a:rPr lang="en-GB" sz="1600">
                <a:solidFill>
                  <a:schemeClr val="tx1"/>
                </a:solidFill>
              </a:rPr>
              <a:t>(99.9 vol% purity, </a:t>
            </a:r>
          </a:p>
          <a:p>
            <a:pPr algn="ctr"/>
            <a:r>
              <a:rPr lang="en-GB" sz="1600">
                <a:solidFill>
                  <a:schemeClr val="tx1"/>
                </a:solidFill>
              </a:rPr>
              <a:t>3 MPa)</a:t>
            </a:r>
          </a:p>
        </xdr:txBody>
      </xdr:sp>
      <xdr:sp macro="" textlink="">
        <xdr:nvSpPr>
          <xdr:cNvPr id="156" name="Arrow: Pentagon 4">
            <a:extLst>
              <a:ext uri="{FF2B5EF4-FFF2-40B4-BE49-F238E27FC236}">
                <a16:creationId xmlns:a16="http://schemas.microsoft.com/office/drawing/2014/main" id="{176A5F00-9877-45EA-8BA1-F100652EB03F}"/>
              </a:ext>
            </a:extLst>
          </xdr:cNvPr>
          <xdr:cNvSpPr/>
        </xdr:nvSpPr>
        <xdr:spPr>
          <a:xfrm>
            <a:off x="13339402" y="3956578"/>
            <a:ext cx="1188033" cy="1203940"/>
          </a:xfrm>
          <a:prstGeom prst="homePlate">
            <a:avLst>
              <a:gd name="adj" fmla="val 14626"/>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sz="2000">
              <a:solidFill>
                <a:schemeClr val="tx1"/>
              </a:solidFill>
            </a:endParaRPr>
          </a:p>
        </xdr:txBody>
      </xdr:sp>
      <xdr:sp macro="" textlink="">
        <xdr:nvSpPr>
          <xdr:cNvPr id="157" name="Rectangle 5">
            <a:extLst>
              <a:ext uri="{FF2B5EF4-FFF2-40B4-BE49-F238E27FC236}">
                <a16:creationId xmlns:a16="http://schemas.microsoft.com/office/drawing/2014/main" id="{5A82E947-B98A-BF49-993C-880E4D3F0689}"/>
              </a:ext>
            </a:extLst>
          </xdr:cNvPr>
          <xdr:cNvSpPr/>
        </xdr:nvSpPr>
        <xdr:spPr>
          <a:xfrm>
            <a:off x="6213522" y="3936260"/>
            <a:ext cx="1793962" cy="1197677"/>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2000">
                <a:solidFill>
                  <a:schemeClr val="tx1"/>
                </a:solidFill>
              </a:rPr>
              <a:t>Biogas production &amp; upgrading</a:t>
            </a:r>
          </a:p>
        </xdr:txBody>
      </xdr:sp>
      <xdr:sp macro="" textlink="">
        <xdr:nvSpPr>
          <xdr:cNvPr id="158" name="Arrow: Pentagon 6">
            <a:extLst>
              <a:ext uri="{FF2B5EF4-FFF2-40B4-BE49-F238E27FC236}">
                <a16:creationId xmlns:a16="http://schemas.microsoft.com/office/drawing/2014/main" id="{BE1DF5E9-6692-8843-8937-A6BD2B5929D6}"/>
              </a:ext>
            </a:extLst>
          </xdr:cNvPr>
          <xdr:cNvSpPr/>
        </xdr:nvSpPr>
        <xdr:spPr>
          <a:xfrm>
            <a:off x="3500680" y="3938948"/>
            <a:ext cx="381489" cy="1207202"/>
          </a:xfrm>
          <a:prstGeom prst="homePlate">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sz="2000">
              <a:solidFill>
                <a:schemeClr val="tx1"/>
              </a:solidFill>
            </a:endParaRPr>
          </a:p>
        </xdr:txBody>
      </xdr:sp>
      <xdr:sp macro="" textlink="">
        <xdr:nvSpPr>
          <xdr:cNvPr id="159" name="Rectangle 8">
            <a:extLst>
              <a:ext uri="{FF2B5EF4-FFF2-40B4-BE49-F238E27FC236}">
                <a16:creationId xmlns:a16="http://schemas.microsoft.com/office/drawing/2014/main" id="{0DD4C5DE-EE9D-2D4D-9230-298A0276F152}"/>
              </a:ext>
            </a:extLst>
          </xdr:cNvPr>
          <xdr:cNvSpPr/>
        </xdr:nvSpPr>
        <xdr:spPr>
          <a:xfrm>
            <a:off x="631294" y="3939701"/>
            <a:ext cx="2793831" cy="1210226"/>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en-GB" sz="2000" kern="1200">
                <a:solidFill>
                  <a:schemeClr val="tx1"/>
                </a:solidFill>
                <a:latin typeface="+mn-lt"/>
                <a:ea typeface="+mn-ea"/>
                <a:cs typeface="+mn-cs"/>
              </a:rPr>
              <a:t>Maize cultivation</a:t>
            </a:r>
          </a:p>
        </xdr:txBody>
      </xdr:sp>
      <xdr:sp macro="" textlink="">
        <xdr:nvSpPr>
          <xdr:cNvPr id="161" name="Rectangle 27">
            <a:extLst>
              <a:ext uri="{FF2B5EF4-FFF2-40B4-BE49-F238E27FC236}">
                <a16:creationId xmlns:a16="http://schemas.microsoft.com/office/drawing/2014/main" id="{A14999E6-3EAF-ED42-9EC2-1B123D7AEA70}"/>
              </a:ext>
            </a:extLst>
          </xdr:cNvPr>
          <xdr:cNvSpPr/>
        </xdr:nvSpPr>
        <xdr:spPr>
          <a:xfrm rot="16200000">
            <a:off x="627805" y="2584360"/>
            <a:ext cx="1403818" cy="570639"/>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Fertiliser</a:t>
            </a:r>
            <a:endParaRPr lang="en-GB" sz="1200">
              <a:solidFill>
                <a:schemeClr val="tx1"/>
              </a:solidFill>
            </a:endParaRPr>
          </a:p>
        </xdr:txBody>
      </xdr:sp>
      <xdr:sp macro="" textlink="">
        <xdr:nvSpPr>
          <xdr:cNvPr id="162" name="Rectangle 28">
            <a:extLst>
              <a:ext uri="{FF2B5EF4-FFF2-40B4-BE49-F238E27FC236}">
                <a16:creationId xmlns:a16="http://schemas.microsoft.com/office/drawing/2014/main" id="{7E3C4F2B-C1DD-B242-8155-F0ADB1D6CDEF}"/>
              </a:ext>
            </a:extLst>
          </xdr:cNvPr>
          <xdr:cNvSpPr/>
        </xdr:nvSpPr>
        <xdr:spPr>
          <a:xfrm rot="16200000">
            <a:off x="1298585" y="2584362"/>
            <a:ext cx="1403817" cy="570639"/>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Maize seed</a:t>
            </a:r>
          </a:p>
        </xdr:txBody>
      </xdr:sp>
      <xdr:sp macro="" textlink="">
        <xdr:nvSpPr>
          <xdr:cNvPr id="163" name="Rectangle 29">
            <a:extLst>
              <a:ext uri="{FF2B5EF4-FFF2-40B4-BE49-F238E27FC236}">
                <a16:creationId xmlns:a16="http://schemas.microsoft.com/office/drawing/2014/main" id="{8F203214-0AD6-024E-BF20-78E15351EB43}"/>
              </a:ext>
            </a:extLst>
          </xdr:cNvPr>
          <xdr:cNvSpPr/>
        </xdr:nvSpPr>
        <xdr:spPr>
          <a:xfrm rot="16200000">
            <a:off x="1980798" y="2584359"/>
            <a:ext cx="1403816" cy="570639"/>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Diesel</a:t>
            </a:r>
          </a:p>
        </xdr:txBody>
      </xdr:sp>
      <xdr:sp macro="" textlink="">
        <xdr:nvSpPr>
          <xdr:cNvPr id="164" name="Arrow: Pentagon 30">
            <a:extLst>
              <a:ext uri="{FF2B5EF4-FFF2-40B4-BE49-F238E27FC236}">
                <a16:creationId xmlns:a16="http://schemas.microsoft.com/office/drawing/2014/main" id="{4B75E21A-B468-6F4A-9D51-A05660640186}"/>
              </a:ext>
            </a:extLst>
          </xdr:cNvPr>
          <xdr:cNvSpPr/>
        </xdr:nvSpPr>
        <xdr:spPr>
          <a:xfrm rot="16200000" flipH="1">
            <a:off x="1868665" y="2790242"/>
            <a:ext cx="275093" cy="1923633"/>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65" name="Rectangle 10">
            <a:extLst>
              <a:ext uri="{FF2B5EF4-FFF2-40B4-BE49-F238E27FC236}">
                <a16:creationId xmlns:a16="http://schemas.microsoft.com/office/drawing/2014/main" id="{9B7BD375-22E2-C047-A93A-F5EC0CAEC494}"/>
              </a:ext>
            </a:extLst>
          </xdr:cNvPr>
          <xdr:cNvSpPr/>
        </xdr:nvSpPr>
        <xdr:spPr>
          <a:xfrm>
            <a:off x="3912828" y="3929563"/>
            <a:ext cx="1792750" cy="1197677"/>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2000">
                <a:solidFill>
                  <a:schemeClr val="tx1"/>
                </a:solidFill>
              </a:rPr>
              <a:t>Feedstock collection &amp; transport</a:t>
            </a:r>
          </a:p>
        </xdr:txBody>
      </xdr:sp>
      <xdr:sp macro="" textlink="">
        <xdr:nvSpPr>
          <xdr:cNvPr id="166" name="Rectangle 11">
            <a:extLst>
              <a:ext uri="{FF2B5EF4-FFF2-40B4-BE49-F238E27FC236}">
                <a16:creationId xmlns:a16="http://schemas.microsoft.com/office/drawing/2014/main" id="{43032507-AA92-DD43-BC36-45AD26335720}"/>
              </a:ext>
            </a:extLst>
          </xdr:cNvPr>
          <xdr:cNvSpPr/>
        </xdr:nvSpPr>
        <xdr:spPr>
          <a:xfrm>
            <a:off x="3912828" y="2602149"/>
            <a:ext cx="1792750" cy="938749"/>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Road transport: distance travelled, diesel truck</a:t>
            </a:r>
          </a:p>
        </xdr:txBody>
      </xdr:sp>
      <xdr:sp macro="" textlink="">
        <xdr:nvSpPr>
          <xdr:cNvPr id="167" name="Arrow: Pentagon 12">
            <a:extLst>
              <a:ext uri="{FF2B5EF4-FFF2-40B4-BE49-F238E27FC236}">
                <a16:creationId xmlns:a16="http://schemas.microsoft.com/office/drawing/2014/main" id="{EFD53E71-524C-6A46-9DAF-34D0F289B2D9}"/>
              </a:ext>
            </a:extLst>
          </xdr:cNvPr>
          <xdr:cNvSpPr/>
        </xdr:nvSpPr>
        <xdr:spPr>
          <a:xfrm rot="5400000">
            <a:off x="4674896" y="2826515"/>
            <a:ext cx="268611" cy="1792748"/>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68" name="Arrow: Pentagon 13">
            <a:extLst>
              <a:ext uri="{FF2B5EF4-FFF2-40B4-BE49-F238E27FC236}">
                <a16:creationId xmlns:a16="http://schemas.microsoft.com/office/drawing/2014/main" id="{D6BFF58F-541B-2D41-AF8B-9294909D3ACF}"/>
              </a:ext>
            </a:extLst>
          </xdr:cNvPr>
          <xdr:cNvSpPr/>
        </xdr:nvSpPr>
        <xdr:spPr>
          <a:xfrm>
            <a:off x="5763781" y="3918008"/>
            <a:ext cx="371964" cy="1208977"/>
          </a:xfrm>
          <a:prstGeom prst="homePlate">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sz="2000">
              <a:solidFill>
                <a:schemeClr val="tx1"/>
              </a:solidFill>
            </a:endParaRPr>
          </a:p>
        </xdr:txBody>
      </xdr:sp>
      <xdr:sp macro="" textlink="">
        <xdr:nvSpPr>
          <xdr:cNvPr id="169" name="Pentagon 56">
            <a:extLst>
              <a:ext uri="{FF2B5EF4-FFF2-40B4-BE49-F238E27FC236}">
                <a16:creationId xmlns:a16="http://schemas.microsoft.com/office/drawing/2014/main" id="{80035EAD-72C9-104E-B073-EC9476CD63CF}"/>
              </a:ext>
            </a:extLst>
          </xdr:cNvPr>
          <xdr:cNvSpPr/>
        </xdr:nvSpPr>
        <xdr:spPr>
          <a:xfrm>
            <a:off x="8105154" y="3938197"/>
            <a:ext cx="1954344" cy="1195177"/>
          </a:xfrm>
          <a:prstGeom prst="homePlate">
            <a:avLst>
              <a:gd name="adj" fmla="val 25128"/>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tx1"/>
                </a:solidFill>
              </a:rPr>
              <a:t>Biomethane</a:t>
            </a:r>
          </a:p>
        </xdr:txBody>
      </xdr:sp>
      <xdr:sp macro="" textlink="">
        <xdr:nvSpPr>
          <xdr:cNvPr id="170" name="Arrow: Pentagon 17">
            <a:extLst>
              <a:ext uri="{FF2B5EF4-FFF2-40B4-BE49-F238E27FC236}">
                <a16:creationId xmlns:a16="http://schemas.microsoft.com/office/drawing/2014/main" id="{B45911FB-E099-AB4C-8A8E-62F77617E5BB}"/>
              </a:ext>
            </a:extLst>
          </xdr:cNvPr>
          <xdr:cNvSpPr/>
        </xdr:nvSpPr>
        <xdr:spPr>
          <a:xfrm rot="5400000">
            <a:off x="10841755" y="2821872"/>
            <a:ext cx="275470" cy="1795176"/>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71" name="Rectangle 18">
            <a:extLst>
              <a:ext uri="{FF2B5EF4-FFF2-40B4-BE49-F238E27FC236}">
                <a16:creationId xmlns:a16="http://schemas.microsoft.com/office/drawing/2014/main" id="{3F688BD7-A9E4-4E43-9632-0E186D08B9E0}"/>
              </a:ext>
            </a:extLst>
          </xdr:cNvPr>
          <xdr:cNvSpPr/>
        </xdr:nvSpPr>
        <xdr:spPr>
          <a:xfrm>
            <a:off x="10081900" y="1993084"/>
            <a:ext cx="1795173" cy="570963"/>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UK electricity generation</a:t>
            </a:r>
          </a:p>
        </xdr:txBody>
      </xdr:sp>
      <xdr:sp macro="" textlink="">
        <xdr:nvSpPr>
          <xdr:cNvPr id="172" name="Rectangle 19">
            <a:extLst>
              <a:ext uri="{FF2B5EF4-FFF2-40B4-BE49-F238E27FC236}">
                <a16:creationId xmlns:a16="http://schemas.microsoft.com/office/drawing/2014/main" id="{8391B5B3-BFFC-FD4B-BE01-B46C73F8E5CB}"/>
              </a:ext>
            </a:extLst>
          </xdr:cNvPr>
          <xdr:cNvSpPr/>
        </xdr:nvSpPr>
        <xdr:spPr>
          <a:xfrm>
            <a:off x="10081907" y="2927127"/>
            <a:ext cx="1795172" cy="570963"/>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Electricity grid</a:t>
            </a:r>
          </a:p>
          <a:p>
            <a:pPr algn="ctr"/>
            <a:r>
              <a:rPr lang="en-GB" sz="1600">
                <a:solidFill>
                  <a:schemeClr val="tx1"/>
                </a:solidFill>
              </a:rPr>
              <a:t>(T&amp;D losses)</a:t>
            </a:r>
          </a:p>
        </xdr:txBody>
      </xdr:sp>
      <xdr:sp macro="" textlink="">
        <xdr:nvSpPr>
          <xdr:cNvPr id="173" name="Arrow: Pentagon 20">
            <a:extLst>
              <a:ext uri="{FF2B5EF4-FFF2-40B4-BE49-F238E27FC236}">
                <a16:creationId xmlns:a16="http://schemas.microsoft.com/office/drawing/2014/main" id="{293AB32E-D2B7-DA44-921D-5F53DB910EB1}"/>
              </a:ext>
            </a:extLst>
          </xdr:cNvPr>
          <xdr:cNvSpPr/>
        </xdr:nvSpPr>
        <xdr:spPr>
          <a:xfrm rot="5400000">
            <a:off x="10845754" y="1854297"/>
            <a:ext cx="267467" cy="1795177"/>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74" name="Arrow: Pentagon 21">
            <a:extLst>
              <a:ext uri="{FF2B5EF4-FFF2-40B4-BE49-F238E27FC236}">
                <a16:creationId xmlns:a16="http://schemas.microsoft.com/office/drawing/2014/main" id="{551EF02A-A3C9-8946-BAC3-3A417FB3EA0E}"/>
              </a:ext>
            </a:extLst>
          </xdr:cNvPr>
          <xdr:cNvSpPr/>
        </xdr:nvSpPr>
        <xdr:spPr>
          <a:xfrm rot="5400000">
            <a:off x="12149483" y="4521994"/>
            <a:ext cx="462218" cy="1804698"/>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75" name="Rectangle 22">
            <a:extLst>
              <a:ext uri="{FF2B5EF4-FFF2-40B4-BE49-F238E27FC236}">
                <a16:creationId xmlns:a16="http://schemas.microsoft.com/office/drawing/2014/main" id="{77A6B77A-FE23-F845-9D75-C0F27A8964A0}"/>
              </a:ext>
            </a:extLst>
          </xdr:cNvPr>
          <xdr:cNvSpPr/>
        </xdr:nvSpPr>
        <xdr:spPr>
          <a:xfrm>
            <a:off x="11478245" y="5765726"/>
            <a:ext cx="1804698" cy="1577489"/>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tx1"/>
                </a:solidFill>
              </a:rPr>
              <a:t>Biogenic CO</a:t>
            </a:r>
            <a:r>
              <a:rPr lang="en-GB" sz="1600" baseline="-25000">
                <a:solidFill>
                  <a:schemeClr val="tx1"/>
                </a:solidFill>
              </a:rPr>
              <a:t>2</a:t>
            </a:r>
            <a:r>
              <a:rPr lang="en-GB" sz="1600">
                <a:solidFill>
                  <a:schemeClr val="tx1"/>
                </a:solidFill>
              </a:rPr>
              <a:t> capture and sequestration</a:t>
            </a:r>
          </a:p>
        </xdr:txBody>
      </xdr:sp>
      <xdr:sp macro="" textlink="">
        <xdr:nvSpPr>
          <xdr:cNvPr id="176" name="Arrow: Pentagon 23">
            <a:extLst>
              <a:ext uri="{FF2B5EF4-FFF2-40B4-BE49-F238E27FC236}">
                <a16:creationId xmlns:a16="http://schemas.microsoft.com/office/drawing/2014/main" id="{5CE57FDC-62AC-154E-AA0B-A86A942A4617}"/>
              </a:ext>
            </a:extLst>
          </xdr:cNvPr>
          <xdr:cNvSpPr/>
        </xdr:nvSpPr>
        <xdr:spPr>
          <a:xfrm rot="5400000">
            <a:off x="6973992" y="2828114"/>
            <a:ext cx="273019" cy="1793960"/>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77" name="Rectangle 24">
            <a:extLst>
              <a:ext uri="{FF2B5EF4-FFF2-40B4-BE49-F238E27FC236}">
                <a16:creationId xmlns:a16="http://schemas.microsoft.com/office/drawing/2014/main" id="{8BCBC994-FD87-8C43-AA43-F9477F3AD692}"/>
              </a:ext>
            </a:extLst>
          </xdr:cNvPr>
          <xdr:cNvSpPr/>
        </xdr:nvSpPr>
        <xdr:spPr>
          <a:xfrm>
            <a:off x="6213520" y="1988516"/>
            <a:ext cx="1793961" cy="578583"/>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UK electricity generation</a:t>
            </a:r>
          </a:p>
        </xdr:txBody>
      </xdr:sp>
      <xdr:sp macro="" textlink="">
        <xdr:nvSpPr>
          <xdr:cNvPr id="178" name="Arrow: Pentagon 25">
            <a:extLst>
              <a:ext uri="{FF2B5EF4-FFF2-40B4-BE49-F238E27FC236}">
                <a16:creationId xmlns:a16="http://schemas.microsoft.com/office/drawing/2014/main" id="{1420A524-796F-7C47-BBAD-C6D530FDC333}"/>
              </a:ext>
            </a:extLst>
          </xdr:cNvPr>
          <xdr:cNvSpPr/>
        </xdr:nvSpPr>
        <xdr:spPr>
          <a:xfrm rot="5400000">
            <a:off x="6979286" y="1860473"/>
            <a:ext cx="262429" cy="1793961"/>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79" name="Rectangle 26">
            <a:extLst>
              <a:ext uri="{FF2B5EF4-FFF2-40B4-BE49-F238E27FC236}">
                <a16:creationId xmlns:a16="http://schemas.microsoft.com/office/drawing/2014/main" id="{B5CCB825-260F-2A45-8EE6-D2CD3D45C784}"/>
              </a:ext>
            </a:extLst>
          </xdr:cNvPr>
          <xdr:cNvSpPr/>
        </xdr:nvSpPr>
        <xdr:spPr>
          <a:xfrm>
            <a:off x="6213522" y="2923665"/>
            <a:ext cx="1793960" cy="577227"/>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Electricity grid</a:t>
            </a:r>
          </a:p>
          <a:p>
            <a:pPr algn="ctr"/>
            <a:r>
              <a:rPr lang="en-GB" sz="1600">
                <a:solidFill>
                  <a:schemeClr val="tx1"/>
                </a:solidFill>
              </a:rPr>
              <a:t>(T&amp;D losses)</a:t>
            </a:r>
          </a:p>
        </xdr:txBody>
      </xdr:sp>
      <xdr:sp macro="" textlink="">
        <xdr:nvSpPr>
          <xdr:cNvPr id="33" name="TextBox 32">
            <a:extLst>
              <a:ext uri="{FF2B5EF4-FFF2-40B4-BE49-F238E27FC236}">
                <a16:creationId xmlns:a16="http://schemas.microsoft.com/office/drawing/2014/main" id="{2D8B50CF-F0A0-40C0-87C6-59B734F7D36D}"/>
              </a:ext>
            </a:extLst>
          </xdr:cNvPr>
          <xdr:cNvSpPr txBox="1"/>
        </xdr:nvSpPr>
        <xdr:spPr>
          <a:xfrm>
            <a:off x="440055" y="5664798"/>
            <a:ext cx="2806187" cy="2728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Indicative</a:t>
            </a:r>
            <a:r>
              <a:rPr lang="en-GB" sz="1100" baseline="0">
                <a:solidFill>
                  <a:srgbClr val="FF0000"/>
                </a:solidFill>
              </a:rPr>
              <a:t> GHG emissions system boundary</a:t>
            </a:r>
            <a:endParaRPr lang="en-GB" sz="1100">
              <a:solidFill>
                <a:srgbClr val="FF0000"/>
              </a:solidFill>
            </a:endParaRPr>
          </a:p>
        </xdr:txBody>
      </xdr:sp>
      <xdr:sp macro="" textlink="">
        <xdr:nvSpPr>
          <xdr:cNvPr id="34" name="Rectangle 33">
            <a:extLst>
              <a:ext uri="{FF2B5EF4-FFF2-40B4-BE49-F238E27FC236}">
                <a16:creationId xmlns:a16="http://schemas.microsoft.com/office/drawing/2014/main" id="{F3D82ADE-E536-4DAA-8658-0EBB779FDD53}"/>
              </a:ext>
            </a:extLst>
          </xdr:cNvPr>
          <xdr:cNvSpPr/>
        </xdr:nvSpPr>
        <xdr:spPr>
          <a:xfrm>
            <a:off x="514332" y="3719232"/>
            <a:ext cx="9369380" cy="1590787"/>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5" name="TextBox 34">
            <a:extLst>
              <a:ext uri="{FF2B5EF4-FFF2-40B4-BE49-F238E27FC236}">
                <a16:creationId xmlns:a16="http://schemas.microsoft.com/office/drawing/2014/main" id="{3E6E04B3-6993-4BF8-BD02-ED3177F0AE7F}"/>
              </a:ext>
            </a:extLst>
          </xdr:cNvPr>
          <xdr:cNvSpPr txBox="1"/>
        </xdr:nvSpPr>
        <xdr:spPr>
          <a:xfrm>
            <a:off x="8747032" y="5065955"/>
            <a:ext cx="1178580" cy="2916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Feedstock supply</a:t>
            </a:r>
          </a:p>
        </xdr:txBody>
      </xdr:sp>
      <xdr:sp macro="" textlink="">
        <xdr:nvSpPr>
          <xdr:cNvPr id="36" name="Rectangle 35">
            <a:extLst>
              <a:ext uri="{FF2B5EF4-FFF2-40B4-BE49-F238E27FC236}">
                <a16:creationId xmlns:a16="http://schemas.microsoft.com/office/drawing/2014/main" id="{421CCBA7-0EEE-47A2-90D2-3687AD22B372}"/>
              </a:ext>
            </a:extLst>
          </xdr:cNvPr>
          <xdr:cNvSpPr/>
        </xdr:nvSpPr>
        <xdr:spPr>
          <a:xfrm>
            <a:off x="10106543" y="3717326"/>
            <a:ext cx="1767870" cy="14310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7" name="TextBox 36">
            <a:extLst>
              <a:ext uri="{FF2B5EF4-FFF2-40B4-BE49-F238E27FC236}">
                <a16:creationId xmlns:a16="http://schemas.microsoft.com/office/drawing/2014/main" id="{6F0A09A3-58A1-4CE1-8DD1-62B360E33705}"/>
              </a:ext>
            </a:extLst>
          </xdr:cNvPr>
          <xdr:cNvSpPr txBox="1"/>
        </xdr:nvSpPr>
        <xdr:spPr>
          <a:xfrm>
            <a:off x="10543470" y="3644937"/>
            <a:ext cx="1058594" cy="2916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Energy supply</a:t>
            </a:r>
          </a:p>
        </xdr:txBody>
      </xdr:sp>
      <xdr:sp macro="" textlink="">
        <xdr:nvSpPr>
          <xdr:cNvPr id="86" name="Arrow: Pentagon 37">
            <a:extLst>
              <a:ext uri="{FF2B5EF4-FFF2-40B4-BE49-F238E27FC236}">
                <a16:creationId xmlns:a16="http://schemas.microsoft.com/office/drawing/2014/main" id="{77F1303A-AFDC-4D35-9C82-6C429A6C3694}"/>
              </a:ext>
            </a:extLst>
          </xdr:cNvPr>
          <xdr:cNvSpPr/>
        </xdr:nvSpPr>
        <xdr:spPr>
          <a:xfrm rot="5400000">
            <a:off x="11102128" y="5258699"/>
            <a:ext cx="423452" cy="286007"/>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85" name="Rectangle 38">
            <a:extLst>
              <a:ext uri="{FF2B5EF4-FFF2-40B4-BE49-F238E27FC236}">
                <a16:creationId xmlns:a16="http://schemas.microsoft.com/office/drawing/2014/main" id="{1EDFEFA0-4A8B-47E3-8A93-0B3CBBE4D2B6}"/>
              </a:ext>
            </a:extLst>
          </xdr:cNvPr>
          <xdr:cNvSpPr/>
        </xdr:nvSpPr>
        <xdr:spPr>
          <a:xfrm rot="16200000">
            <a:off x="10513742" y="6417564"/>
            <a:ext cx="1586184" cy="265115"/>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tx1"/>
                </a:solidFill>
              </a:rPr>
              <a:t>Bio-CO</a:t>
            </a:r>
            <a:r>
              <a:rPr lang="en-GB" sz="1600" baseline="-25000">
                <a:solidFill>
                  <a:schemeClr val="tx1"/>
                </a:solidFill>
              </a:rPr>
              <a:t>2</a:t>
            </a:r>
            <a:r>
              <a:rPr lang="en-GB" sz="1600">
                <a:solidFill>
                  <a:schemeClr val="tx1"/>
                </a:solidFill>
              </a:rPr>
              <a:t> release</a:t>
            </a:r>
          </a:p>
        </xdr:txBody>
      </xdr:sp>
      <xdr:sp macro="" textlink="">
        <xdr:nvSpPr>
          <xdr:cNvPr id="121" name="Rectangle 39">
            <a:extLst>
              <a:ext uri="{FF2B5EF4-FFF2-40B4-BE49-F238E27FC236}">
                <a16:creationId xmlns:a16="http://schemas.microsoft.com/office/drawing/2014/main" id="{9E0DECC1-FEE8-48EE-A798-4777A205931B}"/>
              </a:ext>
            </a:extLst>
          </xdr:cNvPr>
          <xdr:cNvSpPr/>
        </xdr:nvSpPr>
        <xdr:spPr>
          <a:xfrm>
            <a:off x="11992498" y="2923766"/>
            <a:ext cx="892897" cy="579513"/>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Water</a:t>
            </a:r>
          </a:p>
        </xdr:txBody>
      </xdr:sp>
      <xdr:sp macro="" textlink="">
        <xdr:nvSpPr>
          <xdr:cNvPr id="122" name="Arrow: Pentagon 40">
            <a:extLst>
              <a:ext uri="{FF2B5EF4-FFF2-40B4-BE49-F238E27FC236}">
                <a16:creationId xmlns:a16="http://schemas.microsoft.com/office/drawing/2014/main" id="{684CA63A-4F28-44C9-99E3-4716C8237514}"/>
              </a:ext>
            </a:extLst>
          </xdr:cNvPr>
          <xdr:cNvSpPr/>
        </xdr:nvSpPr>
        <xdr:spPr>
          <a:xfrm rot="5400000">
            <a:off x="12304025" y="3260013"/>
            <a:ext cx="286197" cy="914630"/>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25" name="Rectangle 41">
            <a:extLst>
              <a:ext uri="{FF2B5EF4-FFF2-40B4-BE49-F238E27FC236}">
                <a16:creationId xmlns:a16="http://schemas.microsoft.com/office/drawing/2014/main" id="{69B442C1-E44B-49BF-A535-E1F3C1587743}"/>
              </a:ext>
            </a:extLst>
          </xdr:cNvPr>
          <xdr:cNvSpPr/>
        </xdr:nvSpPr>
        <xdr:spPr>
          <a:xfrm>
            <a:off x="11988687" y="3700180"/>
            <a:ext cx="915755" cy="18882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24" name="TextBox 42">
            <a:extLst>
              <a:ext uri="{FF2B5EF4-FFF2-40B4-BE49-F238E27FC236}">
                <a16:creationId xmlns:a16="http://schemas.microsoft.com/office/drawing/2014/main" id="{03AE3854-C959-4D70-89EB-D109994B88BE}"/>
              </a:ext>
            </a:extLst>
          </xdr:cNvPr>
          <xdr:cNvSpPr txBox="1"/>
        </xdr:nvSpPr>
        <xdr:spPr>
          <a:xfrm>
            <a:off x="11923934" y="3641127"/>
            <a:ext cx="1052880" cy="2916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Input materials</a:t>
            </a:r>
          </a:p>
        </xdr:txBody>
      </xdr:sp>
      <xdr:sp macro="" textlink="">
        <xdr:nvSpPr>
          <xdr:cNvPr id="2" name="Rectangle 1">
            <a:extLst>
              <a:ext uri="{FF2B5EF4-FFF2-40B4-BE49-F238E27FC236}">
                <a16:creationId xmlns:a16="http://schemas.microsoft.com/office/drawing/2014/main" id="{99A90066-F997-494E-996E-EFD3A8DED67D}"/>
              </a:ext>
            </a:extLst>
          </xdr:cNvPr>
          <xdr:cNvSpPr/>
        </xdr:nvSpPr>
        <xdr:spPr>
          <a:xfrm>
            <a:off x="438149" y="3643033"/>
            <a:ext cx="14021972" cy="2050340"/>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3" name="Rectangle 43">
            <a:extLst>
              <a:ext uri="{FF2B5EF4-FFF2-40B4-BE49-F238E27FC236}">
                <a16:creationId xmlns:a16="http://schemas.microsoft.com/office/drawing/2014/main" id="{F971B34B-4C91-40BB-B6BA-112E2DBFEB94}"/>
              </a:ext>
            </a:extLst>
          </xdr:cNvPr>
          <xdr:cNvSpPr/>
        </xdr:nvSpPr>
        <xdr:spPr>
          <a:xfrm>
            <a:off x="11155615" y="5166919"/>
            <a:ext cx="2129737" cy="16215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2" name="Rectangle 44">
            <a:extLst>
              <a:ext uri="{FF2B5EF4-FFF2-40B4-BE49-F238E27FC236}">
                <a16:creationId xmlns:a16="http://schemas.microsoft.com/office/drawing/2014/main" id="{8EFA83FD-F18B-48A5-B499-F3433AE3AB1A}"/>
              </a:ext>
            </a:extLst>
          </xdr:cNvPr>
          <xdr:cNvSpPr/>
        </xdr:nvSpPr>
        <xdr:spPr>
          <a:xfrm>
            <a:off x="11487006" y="5388348"/>
            <a:ext cx="1819295" cy="16192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8" name="TextBox 45">
            <a:extLst>
              <a:ext uri="{FF2B5EF4-FFF2-40B4-BE49-F238E27FC236}">
                <a16:creationId xmlns:a16="http://schemas.microsoft.com/office/drawing/2014/main" id="{C7EE30DE-315A-48A8-95B5-C6CD011FA6EA}"/>
              </a:ext>
            </a:extLst>
          </xdr:cNvPr>
          <xdr:cNvSpPr txBox="1"/>
        </xdr:nvSpPr>
        <xdr:spPr>
          <a:xfrm>
            <a:off x="11536526" y="5113580"/>
            <a:ext cx="1919116" cy="2823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Process CO2 emissions</a:t>
            </a:r>
          </a:p>
        </xdr:txBody>
      </xdr:sp>
      <xdr:sp macro="" textlink="">
        <xdr:nvSpPr>
          <xdr:cNvPr id="87" name="TextBox 46">
            <a:extLst>
              <a:ext uri="{FF2B5EF4-FFF2-40B4-BE49-F238E27FC236}">
                <a16:creationId xmlns:a16="http://schemas.microsoft.com/office/drawing/2014/main" id="{A44B0D46-53A1-4AAE-96E6-F587CCF1083A}"/>
              </a:ext>
            </a:extLst>
          </xdr:cNvPr>
          <xdr:cNvSpPr txBox="1"/>
        </xdr:nvSpPr>
        <xdr:spPr>
          <a:xfrm>
            <a:off x="11803947" y="5330974"/>
            <a:ext cx="1920234" cy="2823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CO2 sequestered</a:t>
            </a:r>
          </a:p>
        </xdr:txBody>
      </xdr:sp>
      <xdr:sp macro="" textlink="">
        <xdr:nvSpPr>
          <xdr:cNvPr id="48" name="Rectangle 47">
            <a:extLst>
              <a:ext uri="{FF2B5EF4-FFF2-40B4-BE49-F238E27FC236}">
                <a16:creationId xmlns:a16="http://schemas.microsoft.com/office/drawing/2014/main" id="{89C3DE9B-9D70-402D-A924-6357F550C8C5}"/>
              </a:ext>
            </a:extLst>
          </xdr:cNvPr>
          <xdr:cNvSpPr/>
        </xdr:nvSpPr>
        <xdr:spPr>
          <a:xfrm rot="16200000">
            <a:off x="13132586" y="3995790"/>
            <a:ext cx="1505061" cy="932897"/>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9" name="TextBox 48">
            <a:extLst>
              <a:ext uri="{FF2B5EF4-FFF2-40B4-BE49-F238E27FC236}">
                <a16:creationId xmlns:a16="http://schemas.microsoft.com/office/drawing/2014/main" id="{A466C68B-07A4-4C79-B7B0-9034F36B1D3B}"/>
              </a:ext>
            </a:extLst>
          </xdr:cNvPr>
          <xdr:cNvSpPr txBox="1"/>
        </xdr:nvSpPr>
        <xdr:spPr>
          <a:xfrm>
            <a:off x="13421052" y="4220443"/>
            <a:ext cx="985742" cy="8955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Theoretical compression &amp; purification</a:t>
            </a:r>
          </a:p>
        </xdr:txBody>
      </xdr:sp>
      <xdr:sp macro="" textlink="">
        <xdr:nvSpPr>
          <xdr:cNvPr id="51" name="Rectangle 50">
            <a:extLst>
              <a:ext uri="{FF2B5EF4-FFF2-40B4-BE49-F238E27FC236}">
                <a16:creationId xmlns:a16="http://schemas.microsoft.com/office/drawing/2014/main" id="{9A46435A-99FD-403B-A5AA-D663DB58EF06}"/>
              </a:ext>
            </a:extLst>
          </xdr:cNvPr>
          <xdr:cNvSpPr/>
        </xdr:nvSpPr>
        <xdr:spPr>
          <a:xfrm>
            <a:off x="13433906" y="1992343"/>
            <a:ext cx="934796" cy="571123"/>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00">
                <a:solidFill>
                  <a:schemeClr val="tx1"/>
                </a:solidFill>
              </a:rPr>
              <a:t>UK electricity generation</a:t>
            </a:r>
          </a:p>
        </xdr:txBody>
      </xdr:sp>
      <xdr:sp macro="" textlink="">
        <xdr:nvSpPr>
          <xdr:cNvPr id="52" name="Rectangle 51">
            <a:extLst>
              <a:ext uri="{FF2B5EF4-FFF2-40B4-BE49-F238E27FC236}">
                <a16:creationId xmlns:a16="http://schemas.microsoft.com/office/drawing/2014/main" id="{1B265433-A762-4821-A957-1441C7329F2C}"/>
              </a:ext>
            </a:extLst>
          </xdr:cNvPr>
          <xdr:cNvSpPr/>
        </xdr:nvSpPr>
        <xdr:spPr>
          <a:xfrm>
            <a:off x="13418669" y="2922752"/>
            <a:ext cx="950034" cy="571122"/>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00">
                <a:solidFill>
                  <a:schemeClr val="tx1"/>
                </a:solidFill>
              </a:rPr>
              <a:t>Electricity grid</a:t>
            </a:r>
          </a:p>
          <a:p>
            <a:pPr algn="ctr"/>
            <a:r>
              <a:rPr lang="en-GB" sz="1100">
                <a:solidFill>
                  <a:schemeClr val="tx1"/>
                </a:solidFill>
              </a:rPr>
              <a:t>(T&amp;D losses)</a:t>
            </a:r>
          </a:p>
        </xdr:txBody>
      </xdr:sp>
      <xdr:sp macro="" textlink="">
        <xdr:nvSpPr>
          <xdr:cNvPr id="53" name="Arrow: Pentagon 52">
            <a:extLst>
              <a:ext uri="{FF2B5EF4-FFF2-40B4-BE49-F238E27FC236}">
                <a16:creationId xmlns:a16="http://schemas.microsoft.com/office/drawing/2014/main" id="{60284621-F331-43BA-8D8A-29F538CDF05C}"/>
              </a:ext>
            </a:extLst>
          </xdr:cNvPr>
          <xdr:cNvSpPr/>
        </xdr:nvSpPr>
        <xdr:spPr>
          <a:xfrm rot="5400000">
            <a:off x="13751003" y="2284464"/>
            <a:ext cx="301435" cy="935630"/>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84" name="Arrow: Pentagon 53">
            <a:extLst>
              <a:ext uri="{FF2B5EF4-FFF2-40B4-BE49-F238E27FC236}">
                <a16:creationId xmlns:a16="http://schemas.microsoft.com/office/drawing/2014/main" id="{D66A3C62-23DB-4E59-80AD-FB806CA6F559}"/>
              </a:ext>
            </a:extLst>
          </xdr:cNvPr>
          <xdr:cNvSpPr/>
        </xdr:nvSpPr>
        <xdr:spPr>
          <a:xfrm rot="5400000" flipV="1">
            <a:off x="10775833" y="5264056"/>
            <a:ext cx="417868" cy="265512"/>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80" name="Rectangle 38">
            <a:extLst>
              <a:ext uri="{FF2B5EF4-FFF2-40B4-BE49-F238E27FC236}">
                <a16:creationId xmlns:a16="http://schemas.microsoft.com/office/drawing/2014/main" id="{F76D27B9-06D1-41EA-BB2E-23B6CB193649}"/>
              </a:ext>
            </a:extLst>
          </xdr:cNvPr>
          <xdr:cNvSpPr/>
        </xdr:nvSpPr>
        <xdr:spPr>
          <a:xfrm rot="16200000">
            <a:off x="10181197" y="6429752"/>
            <a:ext cx="1583888" cy="243045"/>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tx1"/>
                </a:solidFill>
              </a:rPr>
              <a:t>Fugitive non-CO</a:t>
            </a:r>
            <a:r>
              <a:rPr lang="en-GB" sz="1600" baseline="-25000">
                <a:solidFill>
                  <a:schemeClr val="tx1"/>
                </a:solidFill>
              </a:rPr>
              <a:t>2</a:t>
            </a:r>
            <a:endParaRPr lang="en-GB" sz="1600">
              <a:solidFill>
                <a:schemeClr val="tx1"/>
              </a:solidFill>
            </a:endParaRPr>
          </a:p>
        </xdr:txBody>
      </xdr:sp>
      <xdr:sp macro="" textlink="">
        <xdr:nvSpPr>
          <xdr:cNvPr id="181" name="Rectangle 43">
            <a:extLst>
              <a:ext uri="{FF2B5EF4-FFF2-40B4-BE49-F238E27FC236}">
                <a16:creationId xmlns:a16="http://schemas.microsoft.com/office/drawing/2014/main" id="{48627BB9-7D7D-457C-83F0-0B8F986597C4}"/>
              </a:ext>
            </a:extLst>
          </xdr:cNvPr>
          <xdr:cNvSpPr/>
        </xdr:nvSpPr>
        <xdr:spPr>
          <a:xfrm>
            <a:off x="10283076" y="5165276"/>
            <a:ext cx="849289" cy="31950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82" name="TextBox 46">
            <a:extLst>
              <a:ext uri="{FF2B5EF4-FFF2-40B4-BE49-F238E27FC236}">
                <a16:creationId xmlns:a16="http://schemas.microsoft.com/office/drawing/2014/main" id="{F49B8935-23D4-4A1D-9DE7-16C4809223AE}"/>
              </a:ext>
            </a:extLst>
          </xdr:cNvPr>
          <xdr:cNvSpPr txBox="1"/>
        </xdr:nvSpPr>
        <xdr:spPr>
          <a:xfrm>
            <a:off x="10221210" y="5114237"/>
            <a:ext cx="702580" cy="579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Fugitive</a:t>
            </a:r>
            <a:r>
              <a:rPr lang="en-GB" sz="1100" baseline="0">
                <a:solidFill>
                  <a:srgbClr val="FF0000"/>
                </a:solidFill>
              </a:rPr>
              <a:t> non-CO2</a:t>
            </a:r>
            <a:endParaRPr lang="en-GB" sz="1100">
              <a:solidFill>
                <a:srgbClr val="FF0000"/>
              </a:solidFill>
            </a:endParaRPr>
          </a:p>
        </xdr:txBody>
      </xdr:sp>
    </xdr:grpSp>
    <xdr:clientData/>
  </xdr:twoCellAnchor>
  <xdr:twoCellAnchor>
    <xdr:from>
      <xdr:col>1</xdr:col>
      <xdr:colOff>0</xdr:colOff>
      <xdr:row>47</xdr:row>
      <xdr:rowOff>0</xdr:rowOff>
    </xdr:from>
    <xdr:to>
      <xdr:col>4</xdr:col>
      <xdr:colOff>602614</xdr:colOff>
      <xdr:row>74</xdr:row>
      <xdr:rowOff>51163</xdr:rowOff>
    </xdr:to>
    <xdr:grpSp>
      <xdr:nvGrpSpPr>
        <xdr:cNvPr id="3" name="Group 2">
          <a:extLst>
            <a:ext uri="{FF2B5EF4-FFF2-40B4-BE49-F238E27FC236}">
              <a16:creationId xmlns:a16="http://schemas.microsoft.com/office/drawing/2014/main" id="{784A4CE4-44BF-4D3E-8C39-55C99102F9A7}"/>
            </a:ext>
          </a:extLst>
        </xdr:cNvPr>
        <xdr:cNvGrpSpPr/>
      </xdr:nvGrpSpPr>
      <xdr:grpSpPr>
        <a:xfrm>
          <a:off x="638175" y="8686800"/>
          <a:ext cx="8524239" cy="4934313"/>
          <a:chOff x="8380322" y="2372813"/>
          <a:chExt cx="8386082" cy="4942387"/>
        </a:xfrm>
      </xdr:grpSpPr>
      <xdr:sp macro="" textlink="">
        <xdr:nvSpPr>
          <xdr:cNvPr id="5" name="Arrow: Pentagon 40">
            <a:extLst>
              <a:ext uri="{FF2B5EF4-FFF2-40B4-BE49-F238E27FC236}">
                <a16:creationId xmlns:a16="http://schemas.microsoft.com/office/drawing/2014/main" id="{197C13BB-E995-CAB7-4BA3-6FC3DE2D4F71}"/>
              </a:ext>
            </a:extLst>
          </xdr:cNvPr>
          <xdr:cNvSpPr/>
        </xdr:nvSpPr>
        <xdr:spPr>
          <a:xfrm rot="5400000">
            <a:off x="12685402" y="3464775"/>
            <a:ext cx="277141" cy="1285798"/>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6" name="TextBox 42">
            <a:extLst>
              <a:ext uri="{FF2B5EF4-FFF2-40B4-BE49-F238E27FC236}">
                <a16:creationId xmlns:a16="http://schemas.microsoft.com/office/drawing/2014/main" id="{30CC2296-70B9-5F7C-6DB1-580F7BF2A5D5}"/>
              </a:ext>
            </a:extLst>
          </xdr:cNvPr>
          <xdr:cNvSpPr txBox="1"/>
        </xdr:nvSpPr>
        <xdr:spPr>
          <a:xfrm>
            <a:off x="12117115" y="4036608"/>
            <a:ext cx="1348596" cy="294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rgbClr val="FF0000"/>
                </a:solidFill>
              </a:rPr>
              <a:t>Input materials</a:t>
            </a:r>
          </a:p>
        </xdr:txBody>
      </xdr:sp>
      <xdr:sp macro="" textlink="">
        <xdr:nvSpPr>
          <xdr:cNvPr id="7" name="Arrow: Pentagon 6">
            <a:extLst>
              <a:ext uri="{FF2B5EF4-FFF2-40B4-BE49-F238E27FC236}">
                <a16:creationId xmlns:a16="http://schemas.microsoft.com/office/drawing/2014/main" id="{D43509A4-2206-7023-10D8-1013C646750F}"/>
              </a:ext>
            </a:extLst>
          </xdr:cNvPr>
          <xdr:cNvSpPr/>
        </xdr:nvSpPr>
        <xdr:spPr>
          <a:xfrm rot="5400000">
            <a:off x="13888537" y="3665521"/>
            <a:ext cx="369527" cy="961346"/>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8" name="Rectangle 2">
            <a:extLst>
              <a:ext uri="{FF2B5EF4-FFF2-40B4-BE49-F238E27FC236}">
                <a16:creationId xmlns:a16="http://schemas.microsoft.com/office/drawing/2014/main" id="{33A8C97F-0579-04C6-7D8C-25F5B60B88AF}"/>
              </a:ext>
            </a:extLst>
          </xdr:cNvPr>
          <xdr:cNvSpPr/>
        </xdr:nvSpPr>
        <xdr:spPr>
          <a:xfrm>
            <a:off x="10267684" y="4335323"/>
            <a:ext cx="3207079" cy="1226435"/>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2000">
                <a:solidFill>
                  <a:schemeClr val="tx1"/>
                </a:solidFill>
              </a:rPr>
              <a:t>Electrolysis</a:t>
            </a:r>
          </a:p>
        </xdr:txBody>
      </xdr:sp>
      <xdr:sp macro="" textlink="">
        <xdr:nvSpPr>
          <xdr:cNvPr id="9" name="Rectangle 3">
            <a:extLst>
              <a:ext uri="{FF2B5EF4-FFF2-40B4-BE49-F238E27FC236}">
                <a16:creationId xmlns:a16="http://schemas.microsoft.com/office/drawing/2014/main" id="{0AE1164E-E9D5-8E39-C862-3D791ED0951E}"/>
              </a:ext>
            </a:extLst>
          </xdr:cNvPr>
          <xdr:cNvSpPr/>
        </xdr:nvSpPr>
        <xdr:spPr>
          <a:xfrm>
            <a:off x="14762831" y="4359727"/>
            <a:ext cx="2003573" cy="1163291"/>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tx1"/>
                </a:solidFill>
              </a:rPr>
              <a:t>Hydrogen </a:t>
            </a:r>
          </a:p>
          <a:p>
            <a:pPr algn="ctr"/>
            <a:r>
              <a:rPr lang="en-GB" sz="1600">
                <a:solidFill>
                  <a:schemeClr val="tx1"/>
                </a:solidFill>
              </a:rPr>
              <a:t>(99.9 vol% purity, </a:t>
            </a:r>
          </a:p>
          <a:p>
            <a:pPr algn="ctr"/>
            <a:r>
              <a:rPr lang="en-GB" sz="1600">
                <a:solidFill>
                  <a:schemeClr val="tx1"/>
                </a:solidFill>
              </a:rPr>
              <a:t>3 MPa)</a:t>
            </a:r>
          </a:p>
        </xdr:txBody>
      </xdr:sp>
      <xdr:sp macro="" textlink="">
        <xdr:nvSpPr>
          <xdr:cNvPr id="10" name="Arrow: Pentagon 4">
            <a:extLst>
              <a:ext uri="{FF2B5EF4-FFF2-40B4-BE49-F238E27FC236}">
                <a16:creationId xmlns:a16="http://schemas.microsoft.com/office/drawing/2014/main" id="{082DAA6B-0F54-C963-04A7-927067A15193}"/>
              </a:ext>
            </a:extLst>
          </xdr:cNvPr>
          <xdr:cNvSpPr/>
        </xdr:nvSpPr>
        <xdr:spPr>
          <a:xfrm>
            <a:off x="13528606" y="4353026"/>
            <a:ext cx="1189798" cy="1209186"/>
          </a:xfrm>
          <a:prstGeom prst="homePlate">
            <a:avLst>
              <a:gd name="adj" fmla="val 14626"/>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sz="2000">
              <a:solidFill>
                <a:schemeClr val="tx1"/>
              </a:solidFill>
            </a:endParaRPr>
          </a:p>
        </xdr:txBody>
      </xdr:sp>
      <xdr:sp macro="" textlink="">
        <xdr:nvSpPr>
          <xdr:cNvPr id="11" name="Arrow: Pentagon 17">
            <a:extLst>
              <a:ext uri="{FF2B5EF4-FFF2-40B4-BE49-F238E27FC236}">
                <a16:creationId xmlns:a16="http://schemas.microsoft.com/office/drawing/2014/main" id="{4D8E3342-EE86-4154-57CB-181069311CB2}"/>
              </a:ext>
            </a:extLst>
          </xdr:cNvPr>
          <xdr:cNvSpPr/>
        </xdr:nvSpPr>
        <xdr:spPr>
          <a:xfrm rot="5400000">
            <a:off x="11025221" y="3211504"/>
            <a:ext cx="285598" cy="1800679"/>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2" name="Rectangle 18">
            <a:extLst>
              <a:ext uri="{FF2B5EF4-FFF2-40B4-BE49-F238E27FC236}">
                <a16:creationId xmlns:a16="http://schemas.microsoft.com/office/drawing/2014/main" id="{337EB340-28B8-6051-630A-86B816325B0D}"/>
              </a:ext>
            </a:extLst>
          </xdr:cNvPr>
          <xdr:cNvSpPr/>
        </xdr:nvSpPr>
        <xdr:spPr>
          <a:xfrm>
            <a:off x="10267678" y="2373561"/>
            <a:ext cx="1800676" cy="576161"/>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UK electricity generation</a:t>
            </a:r>
          </a:p>
        </xdr:txBody>
      </xdr:sp>
      <xdr:sp macro="" textlink="">
        <xdr:nvSpPr>
          <xdr:cNvPr id="13" name="Rectangle 19">
            <a:extLst>
              <a:ext uri="{FF2B5EF4-FFF2-40B4-BE49-F238E27FC236}">
                <a16:creationId xmlns:a16="http://schemas.microsoft.com/office/drawing/2014/main" id="{EAA6B33A-2A59-38FF-AD80-8459DBE570B7}"/>
              </a:ext>
            </a:extLst>
          </xdr:cNvPr>
          <xdr:cNvSpPr/>
        </xdr:nvSpPr>
        <xdr:spPr>
          <a:xfrm>
            <a:off x="10267685" y="3316107"/>
            <a:ext cx="1800675" cy="576161"/>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Electricity grid</a:t>
            </a:r>
          </a:p>
          <a:p>
            <a:pPr algn="ctr"/>
            <a:r>
              <a:rPr lang="en-GB" sz="1600">
                <a:solidFill>
                  <a:schemeClr val="tx1"/>
                </a:solidFill>
              </a:rPr>
              <a:t>(T&amp;D losses)</a:t>
            </a:r>
          </a:p>
        </xdr:txBody>
      </xdr:sp>
      <xdr:sp macro="" textlink="">
        <xdr:nvSpPr>
          <xdr:cNvPr id="14" name="Arrow: Pentagon 20">
            <a:extLst>
              <a:ext uri="{FF2B5EF4-FFF2-40B4-BE49-F238E27FC236}">
                <a16:creationId xmlns:a16="http://schemas.microsoft.com/office/drawing/2014/main" id="{01BEF523-97BC-A0C3-9BC6-FE8F4D863F2C}"/>
              </a:ext>
            </a:extLst>
          </xdr:cNvPr>
          <xdr:cNvSpPr/>
        </xdr:nvSpPr>
        <xdr:spPr>
          <a:xfrm rot="5400000">
            <a:off x="11030208" y="2236074"/>
            <a:ext cx="275617" cy="1800680"/>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5" name="Arrow: Pentagon 21">
            <a:extLst>
              <a:ext uri="{FF2B5EF4-FFF2-40B4-BE49-F238E27FC236}">
                <a16:creationId xmlns:a16="http://schemas.microsoft.com/office/drawing/2014/main" id="{906DEFFC-37F9-5D5B-B9F4-3705058C32AA}"/>
              </a:ext>
            </a:extLst>
          </xdr:cNvPr>
          <xdr:cNvSpPr/>
        </xdr:nvSpPr>
        <xdr:spPr>
          <a:xfrm rot="5400000">
            <a:off x="12333838" y="4934769"/>
            <a:ext cx="466426" cy="1802580"/>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6" name="Rectangle 22">
            <a:extLst>
              <a:ext uri="{FF2B5EF4-FFF2-40B4-BE49-F238E27FC236}">
                <a16:creationId xmlns:a16="http://schemas.microsoft.com/office/drawing/2014/main" id="{00D59249-585B-93E0-9D57-90276ADFBF31}"/>
              </a:ext>
            </a:extLst>
          </xdr:cNvPr>
          <xdr:cNvSpPr/>
        </xdr:nvSpPr>
        <xdr:spPr>
          <a:xfrm>
            <a:off x="11665763" y="6172930"/>
            <a:ext cx="1802580" cy="1142270"/>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100">
                <a:solidFill>
                  <a:schemeClr val="tx1"/>
                </a:solidFill>
              </a:rPr>
              <a:t>CO</a:t>
            </a:r>
            <a:r>
              <a:rPr lang="en-GB" sz="1100" baseline="-25000">
                <a:solidFill>
                  <a:schemeClr val="tx1"/>
                </a:solidFill>
              </a:rPr>
              <a:t>2</a:t>
            </a:r>
            <a:r>
              <a:rPr lang="en-GB" sz="1100">
                <a:solidFill>
                  <a:schemeClr val="tx1"/>
                </a:solidFill>
              </a:rPr>
              <a:t> capture and sequestration</a:t>
            </a:r>
          </a:p>
        </xdr:txBody>
      </xdr:sp>
      <xdr:sp macro="" textlink="">
        <xdr:nvSpPr>
          <xdr:cNvPr id="17" name="TextBox 16">
            <a:extLst>
              <a:ext uri="{FF2B5EF4-FFF2-40B4-BE49-F238E27FC236}">
                <a16:creationId xmlns:a16="http://schemas.microsoft.com/office/drawing/2014/main" id="{1588250D-0951-F37B-66EE-9B8A783C99A4}"/>
              </a:ext>
            </a:extLst>
          </xdr:cNvPr>
          <xdr:cNvSpPr txBox="1"/>
        </xdr:nvSpPr>
        <xdr:spPr>
          <a:xfrm>
            <a:off x="8380322" y="6109183"/>
            <a:ext cx="2807761" cy="282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Indicative</a:t>
            </a:r>
            <a:r>
              <a:rPr lang="en-GB" sz="1100" baseline="0">
                <a:solidFill>
                  <a:srgbClr val="FF0000"/>
                </a:solidFill>
              </a:rPr>
              <a:t> GHG emissions system boundary</a:t>
            </a:r>
            <a:endParaRPr lang="en-GB" sz="1100">
              <a:solidFill>
                <a:srgbClr val="FF0000"/>
              </a:solidFill>
            </a:endParaRPr>
          </a:p>
        </xdr:txBody>
      </xdr:sp>
      <xdr:sp macro="" textlink="">
        <xdr:nvSpPr>
          <xdr:cNvPr id="18" name="Rectangle 17">
            <a:extLst>
              <a:ext uri="{FF2B5EF4-FFF2-40B4-BE49-F238E27FC236}">
                <a16:creationId xmlns:a16="http://schemas.microsoft.com/office/drawing/2014/main" id="{F9DE3AB1-EA94-1CA2-B410-9074873E4FED}"/>
              </a:ext>
            </a:extLst>
          </xdr:cNvPr>
          <xdr:cNvSpPr/>
        </xdr:nvSpPr>
        <xdr:spPr>
          <a:xfrm>
            <a:off x="8962042" y="4115424"/>
            <a:ext cx="1189997" cy="159955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TextBox 18">
            <a:extLst>
              <a:ext uri="{FF2B5EF4-FFF2-40B4-BE49-F238E27FC236}">
                <a16:creationId xmlns:a16="http://schemas.microsoft.com/office/drawing/2014/main" id="{70A76ADC-CEC8-25D4-F020-B0AC313C340D}"/>
              </a:ext>
            </a:extLst>
          </xdr:cNvPr>
          <xdr:cNvSpPr txBox="1"/>
        </xdr:nvSpPr>
        <xdr:spPr>
          <a:xfrm>
            <a:off x="8932968" y="4743449"/>
            <a:ext cx="1186061" cy="1021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rgbClr val="FF0000"/>
                </a:solidFill>
              </a:rPr>
              <a:t>Feedstock supply (nil)</a:t>
            </a:r>
          </a:p>
        </xdr:txBody>
      </xdr:sp>
      <xdr:sp macro="" textlink="">
        <xdr:nvSpPr>
          <xdr:cNvPr id="20" name="Rectangle 19">
            <a:extLst>
              <a:ext uri="{FF2B5EF4-FFF2-40B4-BE49-F238E27FC236}">
                <a16:creationId xmlns:a16="http://schemas.microsoft.com/office/drawing/2014/main" id="{FB3E05EA-871D-F2AE-DF5C-53C345BB9DC5}"/>
              </a:ext>
            </a:extLst>
          </xdr:cNvPr>
          <xdr:cNvSpPr/>
        </xdr:nvSpPr>
        <xdr:spPr>
          <a:xfrm>
            <a:off x="10298033" y="4113501"/>
            <a:ext cx="1767661" cy="14440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1" name="TextBox 20">
            <a:extLst>
              <a:ext uri="{FF2B5EF4-FFF2-40B4-BE49-F238E27FC236}">
                <a16:creationId xmlns:a16="http://schemas.microsoft.com/office/drawing/2014/main" id="{12E32730-3368-4FCF-835B-BE077F94DB48}"/>
              </a:ext>
            </a:extLst>
          </xdr:cNvPr>
          <xdr:cNvSpPr txBox="1"/>
        </xdr:nvSpPr>
        <xdr:spPr>
          <a:xfrm>
            <a:off x="10734909" y="4040453"/>
            <a:ext cx="1056564" cy="294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Energy supply</a:t>
            </a:r>
          </a:p>
        </xdr:txBody>
      </xdr:sp>
      <xdr:sp macro="" textlink="">
        <xdr:nvSpPr>
          <xdr:cNvPr id="22" name="Arrow: Pentagon 37">
            <a:extLst>
              <a:ext uri="{FF2B5EF4-FFF2-40B4-BE49-F238E27FC236}">
                <a16:creationId xmlns:a16="http://schemas.microsoft.com/office/drawing/2014/main" id="{DD32F7E3-B66D-D785-D9B6-C089C2441D60}"/>
              </a:ext>
            </a:extLst>
          </xdr:cNvPr>
          <xdr:cNvSpPr/>
        </xdr:nvSpPr>
        <xdr:spPr>
          <a:xfrm rot="5400000">
            <a:off x="11291548" y="5670225"/>
            <a:ext cx="427307" cy="285973"/>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23" name="Rectangle 38">
            <a:extLst>
              <a:ext uri="{FF2B5EF4-FFF2-40B4-BE49-F238E27FC236}">
                <a16:creationId xmlns:a16="http://schemas.microsoft.com/office/drawing/2014/main" id="{7C6890E0-6A07-A7CD-A2BB-B2C904BC16F9}"/>
              </a:ext>
            </a:extLst>
          </xdr:cNvPr>
          <xdr:cNvSpPr/>
        </xdr:nvSpPr>
        <xdr:spPr>
          <a:xfrm rot="16200000">
            <a:off x="10924566" y="6612849"/>
            <a:ext cx="1143425" cy="261274"/>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100">
                <a:solidFill>
                  <a:schemeClr val="tx1"/>
                </a:solidFill>
              </a:rPr>
              <a:t>CO</a:t>
            </a:r>
            <a:r>
              <a:rPr lang="en-GB" sz="1100" baseline="-25000">
                <a:solidFill>
                  <a:schemeClr val="tx1"/>
                </a:solidFill>
              </a:rPr>
              <a:t>2</a:t>
            </a:r>
            <a:r>
              <a:rPr lang="en-GB" sz="1100">
                <a:solidFill>
                  <a:schemeClr val="tx1"/>
                </a:solidFill>
              </a:rPr>
              <a:t> release</a:t>
            </a:r>
          </a:p>
        </xdr:txBody>
      </xdr:sp>
      <xdr:sp macro="" textlink="">
        <xdr:nvSpPr>
          <xdr:cNvPr id="24" name="Rectangle 39">
            <a:extLst>
              <a:ext uri="{FF2B5EF4-FFF2-40B4-BE49-F238E27FC236}">
                <a16:creationId xmlns:a16="http://schemas.microsoft.com/office/drawing/2014/main" id="{BB2C3800-2E83-0BE6-92A8-E0E77B098F15}"/>
              </a:ext>
            </a:extLst>
          </xdr:cNvPr>
          <xdr:cNvSpPr/>
        </xdr:nvSpPr>
        <xdr:spPr>
          <a:xfrm>
            <a:off x="12183767" y="3312716"/>
            <a:ext cx="474997" cy="584789"/>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lIns="36000" rIns="3600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00">
                <a:solidFill>
                  <a:schemeClr val="tx1"/>
                </a:solidFill>
              </a:rPr>
              <a:t>Water</a:t>
            </a:r>
          </a:p>
        </xdr:txBody>
      </xdr:sp>
      <xdr:sp macro="" textlink="">
        <xdr:nvSpPr>
          <xdr:cNvPr id="25" name="Rectangle 41">
            <a:extLst>
              <a:ext uri="{FF2B5EF4-FFF2-40B4-BE49-F238E27FC236}">
                <a16:creationId xmlns:a16="http://schemas.microsoft.com/office/drawing/2014/main" id="{286801E5-43B2-1D61-BCC2-269969190BF7}"/>
              </a:ext>
            </a:extLst>
          </xdr:cNvPr>
          <xdr:cNvSpPr/>
        </xdr:nvSpPr>
        <xdr:spPr>
          <a:xfrm>
            <a:off x="12179955" y="4092390"/>
            <a:ext cx="1277356" cy="167188"/>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6" name="Rectangle 25">
            <a:extLst>
              <a:ext uri="{FF2B5EF4-FFF2-40B4-BE49-F238E27FC236}">
                <a16:creationId xmlns:a16="http://schemas.microsoft.com/office/drawing/2014/main" id="{C5FC5C09-7807-F1BF-7D8C-A3D788B28391}"/>
              </a:ext>
            </a:extLst>
          </xdr:cNvPr>
          <xdr:cNvSpPr/>
        </xdr:nvSpPr>
        <xdr:spPr>
          <a:xfrm>
            <a:off x="8899232" y="4038531"/>
            <a:ext cx="5749961" cy="2069007"/>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7" name="Rectangle 43">
            <a:extLst>
              <a:ext uri="{FF2B5EF4-FFF2-40B4-BE49-F238E27FC236}">
                <a16:creationId xmlns:a16="http://schemas.microsoft.com/office/drawing/2014/main" id="{49AE0898-C57B-4D32-E0CD-2E326CFFF9AA}"/>
              </a:ext>
            </a:extLst>
          </xdr:cNvPr>
          <xdr:cNvSpPr/>
        </xdr:nvSpPr>
        <xdr:spPr>
          <a:xfrm>
            <a:off x="11343171" y="5570576"/>
            <a:ext cx="2127581" cy="169341"/>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8" name="Rectangle 44">
            <a:extLst>
              <a:ext uri="{FF2B5EF4-FFF2-40B4-BE49-F238E27FC236}">
                <a16:creationId xmlns:a16="http://schemas.microsoft.com/office/drawing/2014/main" id="{AB5618D2-BF25-B656-FAC9-A6812DB7A675}"/>
              </a:ext>
            </a:extLst>
          </xdr:cNvPr>
          <xdr:cNvSpPr/>
        </xdr:nvSpPr>
        <xdr:spPr>
          <a:xfrm>
            <a:off x="11676428" y="5797831"/>
            <a:ext cx="1820985" cy="165304"/>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9" name="TextBox 45">
            <a:extLst>
              <a:ext uri="{FF2B5EF4-FFF2-40B4-BE49-F238E27FC236}">
                <a16:creationId xmlns:a16="http://schemas.microsoft.com/office/drawing/2014/main" id="{ED129187-4C25-8090-8C64-078F41A1FDA6}"/>
              </a:ext>
            </a:extLst>
          </xdr:cNvPr>
          <xdr:cNvSpPr txBox="1"/>
        </xdr:nvSpPr>
        <xdr:spPr>
          <a:xfrm>
            <a:off x="11727848" y="5522466"/>
            <a:ext cx="1918889" cy="284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Process CO2 emissions</a:t>
            </a:r>
          </a:p>
        </xdr:txBody>
      </xdr:sp>
      <xdr:sp macro="" textlink="">
        <xdr:nvSpPr>
          <xdr:cNvPr id="30" name="TextBox 46">
            <a:extLst>
              <a:ext uri="{FF2B5EF4-FFF2-40B4-BE49-F238E27FC236}">
                <a16:creationId xmlns:a16="http://schemas.microsoft.com/office/drawing/2014/main" id="{EFEFE8E9-36EB-C78A-B1B3-CE627BBCCCBC}"/>
              </a:ext>
            </a:extLst>
          </xdr:cNvPr>
          <xdr:cNvSpPr txBox="1"/>
        </xdr:nvSpPr>
        <xdr:spPr>
          <a:xfrm>
            <a:off x="11995237" y="5741840"/>
            <a:ext cx="1920007" cy="284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CO2 sequestered</a:t>
            </a:r>
          </a:p>
        </xdr:txBody>
      </xdr:sp>
      <xdr:sp macro="" textlink="">
        <xdr:nvSpPr>
          <xdr:cNvPr id="31" name="Rectangle 30">
            <a:extLst>
              <a:ext uri="{FF2B5EF4-FFF2-40B4-BE49-F238E27FC236}">
                <a16:creationId xmlns:a16="http://schemas.microsoft.com/office/drawing/2014/main" id="{EF068504-FFA2-7674-B6F4-7B681FE28A3B}"/>
              </a:ext>
            </a:extLst>
          </xdr:cNvPr>
          <xdr:cNvSpPr/>
        </xdr:nvSpPr>
        <xdr:spPr>
          <a:xfrm rot="16200000">
            <a:off x="13316779" y="4396897"/>
            <a:ext cx="1518763" cy="932787"/>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2" name="TextBox 31">
            <a:extLst>
              <a:ext uri="{FF2B5EF4-FFF2-40B4-BE49-F238E27FC236}">
                <a16:creationId xmlns:a16="http://schemas.microsoft.com/office/drawing/2014/main" id="{2377114E-7D66-4980-4175-B3E2EF9D9BA0}"/>
              </a:ext>
            </a:extLst>
          </xdr:cNvPr>
          <xdr:cNvSpPr txBox="1"/>
        </xdr:nvSpPr>
        <xdr:spPr>
          <a:xfrm>
            <a:off x="13612151" y="4621198"/>
            <a:ext cx="979911" cy="9036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Theoretical compression &amp; purification</a:t>
            </a:r>
          </a:p>
        </xdr:txBody>
      </xdr:sp>
      <xdr:sp macro="" textlink="">
        <xdr:nvSpPr>
          <xdr:cNvPr id="38" name="Rectangle 37">
            <a:extLst>
              <a:ext uri="{FF2B5EF4-FFF2-40B4-BE49-F238E27FC236}">
                <a16:creationId xmlns:a16="http://schemas.microsoft.com/office/drawing/2014/main" id="{869B366B-E849-E3DF-C5B4-490A3AEB349F}"/>
              </a:ext>
            </a:extLst>
          </xdr:cNvPr>
          <xdr:cNvSpPr/>
        </xdr:nvSpPr>
        <xdr:spPr>
          <a:xfrm>
            <a:off x="13619289" y="2372813"/>
            <a:ext cx="934686" cy="576323"/>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00">
                <a:solidFill>
                  <a:schemeClr val="tx1"/>
                </a:solidFill>
              </a:rPr>
              <a:t>UK electricity generation</a:t>
            </a:r>
          </a:p>
        </xdr:txBody>
      </xdr:sp>
      <xdr:sp macro="" textlink="">
        <xdr:nvSpPr>
          <xdr:cNvPr id="39" name="Rectangle 38">
            <a:extLst>
              <a:ext uri="{FF2B5EF4-FFF2-40B4-BE49-F238E27FC236}">
                <a16:creationId xmlns:a16="http://schemas.microsoft.com/office/drawing/2014/main" id="{3B820FBF-D71E-5B29-BF39-95A9AE828B1B}"/>
              </a:ext>
            </a:extLst>
          </xdr:cNvPr>
          <xdr:cNvSpPr/>
        </xdr:nvSpPr>
        <xdr:spPr>
          <a:xfrm>
            <a:off x="13609768" y="3311693"/>
            <a:ext cx="944207" cy="574417"/>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00">
                <a:solidFill>
                  <a:schemeClr val="tx1"/>
                </a:solidFill>
              </a:rPr>
              <a:t>Electricity grid</a:t>
            </a:r>
          </a:p>
          <a:p>
            <a:pPr algn="ctr"/>
            <a:r>
              <a:rPr lang="en-GB" sz="1100">
                <a:solidFill>
                  <a:schemeClr val="tx1"/>
                </a:solidFill>
              </a:rPr>
              <a:t>(T&amp;D losses)</a:t>
            </a:r>
          </a:p>
        </xdr:txBody>
      </xdr:sp>
      <xdr:sp macro="" textlink="">
        <xdr:nvSpPr>
          <xdr:cNvPr id="40" name="Arrow: Pentagon 39">
            <a:extLst>
              <a:ext uri="{FF2B5EF4-FFF2-40B4-BE49-F238E27FC236}">
                <a16:creationId xmlns:a16="http://schemas.microsoft.com/office/drawing/2014/main" id="{436943DE-402D-E250-ABDD-59279A1ADD43}"/>
              </a:ext>
            </a:extLst>
          </xdr:cNvPr>
          <xdr:cNvSpPr/>
        </xdr:nvSpPr>
        <xdr:spPr>
          <a:xfrm rot="5400000">
            <a:off x="13937816" y="2669050"/>
            <a:ext cx="298464" cy="935520"/>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41" name="Arrow: Pentagon 53">
            <a:extLst>
              <a:ext uri="{FF2B5EF4-FFF2-40B4-BE49-F238E27FC236}">
                <a16:creationId xmlns:a16="http://schemas.microsoft.com/office/drawing/2014/main" id="{4DB5EB27-85D4-C5D5-F596-F28AB9DC84F2}"/>
              </a:ext>
            </a:extLst>
          </xdr:cNvPr>
          <xdr:cNvSpPr/>
        </xdr:nvSpPr>
        <xdr:spPr>
          <a:xfrm rot="5400000" flipV="1">
            <a:off x="10962459" y="5674585"/>
            <a:ext cx="419767" cy="265481"/>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42" name="Rectangle 38">
            <a:extLst>
              <a:ext uri="{FF2B5EF4-FFF2-40B4-BE49-F238E27FC236}">
                <a16:creationId xmlns:a16="http://schemas.microsoft.com/office/drawing/2014/main" id="{F35CC95D-6853-7199-4C22-72CFB78C8475}"/>
              </a:ext>
            </a:extLst>
          </xdr:cNvPr>
          <xdr:cNvSpPr/>
        </xdr:nvSpPr>
        <xdr:spPr>
          <a:xfrm rot="16200000">
            <a:off x="10592072" y="6621235"/>
            <a:ext cx="1141104" cy="246826"/>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100">
                <a:solidFill>
                  <a:schemeClr val="tx1"/>
                </a:solidFill>
              </a:rPr>
              <a:t>Fugitive non-CO</a:t>
            </a:r>
            <a:r>
              <a:rPr lang="en-GB" sz="1100" baseline="-25000">
                <a:solidFill>
                  <a:schemeClr val="tx1"/>
                </a:solidFill>
              </a:rPr>
              <a:t>2</a:t>
            </a:r>
            <a:endParaRPr lang="en-GB" sz="1100">
              <a:solidFill>
                <a:schemeClr val="tx1"/>
              </a:solidFill>
            </a:endParaRPr>
          </a:p>
        </xdr:txBody>
      </xdr:sp>
      <xdr:sp macro="" textlink="">
        <xdr:nvSpPr>
          <xdr:cNvPr id="43" name="Rectangle 43">
            <a:extLst>
              <a:ext uri="{FF2B5EF4-FFF2-40B4-BE49-F238E27FC236}">
                <a16:creationId xmlns:a16="http://schemas.microsoft.com/office/drawing/2014/main" id="{6BEB79F1-D5BB-8A91-DBC6-82AA35A9BE0D}"/>
              </a:ext>
            </a:extLst>
          </xdr:cNvPr>
          <xdr:cNvSpPr/>
        </xdr:nvSpPr>
        <xdr:spPr>
          <a:xfrm>
            <a:off x="10476450" y="5568918"/>
            <a:ext cx="847284" cy="320509"/>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4" name="TextBox 46">
            <a:extLst>
              <a:ext uri="{FF2B5EF4-FFF2-40B4-BE49-F238E27FC236}">
                <a16:creationId xmlns:a16="http://schemas.microsoft.com/office/drawing/2014/main" id="{43D3907A-88AE-40BE-45B5-CD85A2D1EA60}"/>
              </a:ext>
            </a:extLst>
          </xdr:cNvPr>
          <xdr:cNvSpPr txBox="1"/>
        </xdr:nvSpPr>
        <xdr:spPr>
          <a:xfrm>
            <a:off x="10408877" y="5523129"/>
            <a:ext cx="700592" cy="584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Fugitive</a:t>
            </a:r>
            <a:r>
              <a:rPr lang="en-GB" sz="1100" baseline="0">
                <a:solidFill>
                  <a:srgbClr val="FF0000"/>
                </a:solidFill>
              </a:rPr>
              <a:t> non-CO2</a:t>
            </a:r>
            <a:endParaRPr lang="en-GB" sz="1100">
              <a:solidFill>
                <a:srgbClr val="FF0000"/>
              </a:solidFill>
            </a:endParaRPr>
          </a:p>
        </xdr:txBody>
      </xdr:sp>
      <xdr:sp macro="" textlink="">
        <xdr:nvSpPr>
          <xdr:cNvPr id="45" name="Rectangle 39">
            <a:extLst>
              <a:ext uri="{FF2B5EF4-FFF2-40B4-BE49-F238E27FC236}">
                <a16:creationId xmlns:a16="http://schemas.microsoft.com/office/drawing/2014/main" id="{908DB33D-CE5B-CA23-74A6-7B906835E572}"/>
              </a:ext>
            </a:extLst>
          </xdr:cNvPr>
          <xdr:cNvSpPr/>
        </xdr:nvSpPr>
        <xdr:spPr>
          <a:xfrm>
            <a:off x="12696786" y="3312716"/>
            <a:ext cx="312059" cy="587774"/>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lIns="36000" rIns="3600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00">
                <a:solidFill>
                  <a:schemeClr val="tx1"/>
                </a:solidFill>
              </a:rPr>
              <a:t>HCl</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1748117</xdr:colOff>
      <xdr:row>26</xdr:row>
      <xdr:rowOff>71718</xdr:rowOff>
    </xdr:from>
    <xdr:to>
      <xdr:col>6</xdr:col>
      <xdr:colOff>45356</xdr:colOff>
      <xdr:row>29</xdr:row>
      <xdr:rowOff>5055</xdr:rowOff>
    </xdr:to>
    <xdr:cxnSp macro="">
      <xdr:nvCxnSpPr>
        <xdr:cNvPr id="2" name="Straight Arrow Connector 20">
          <a:extLst>
            <a:ext uri="{FF2B5EF4-FFF2-40B4-BE49-F238E27FC236}">
              <a16:creationId xmlns:a16="http://schemas.microsoft.com/office/drawing/2014/main" id="{B2E96E7F-EFFC-43F0-8CF3-215DD18A8B4D}"/>
            </a:ext>
          </a:extLst>
        </xdr:cNvPr>
        <xdr:cNvCxnSpPr>
          <a:cxnSpLocks/>
          <a:stCxn id="3" idx="1"/>
        </xdr:cNvCxnSpPr>
      </xdr:nvCxnSpPr>
      <xdr:spPr>
        <a:xfrm flipH="1" flipV="1">
          <a:off x="11940988" y="5011271"/>
          <a:ext cx="753568" cy="47121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45356</xdr:colOff>
      <xdr:row>26</xdr:row>
      <xdr:rowOff>132254</xdr:rowOff>
    </xdr:from>
    <xdr:to>
      <xdr:col>11</xdr:col>
      <xdr:colOff>411480</xdr:colOff>
      <xdr:row>31</xdr:row>
      <xdr:rowOff>57149</xdr:rowOff>
    </xdr:to>
    <xdr:sp macro="" textlink="">
      <xdr:nvSpPr>
        <xdr:cNvPr id="3" name="TextBox 27">
          <a:extLst>
            <a:ext uri="{FF2B5EF4-FFF2-40B4-BE49-F238E27FC236}">
              <a16:creationId xmlns:a16="http://schemas.microsoft.com/office/drawing/2014/main" id="{4AFE0D73-50DA-4978-965F-3A4F3ACE5156}"/>
            </a:ext>
          </a:extLst>
        </xdr:cNvPr>
        <xdr:cNvSpPr txBox="1"/>
      </xdr:nvSpPr>
      <xdr:spPr>
        <a:xfrm>
          <a:off x="12694556" y="5130974"/>
          <a:ext cx="3414124" cy="83929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Input GHG emissions results</a:t>
          </a:r>
          <a:r>
            <a:rPr lang="en-GB" sz="1100" baseline="0"/>
            <a:t> for any further consignments that have been calculated in another workbook, if applicable, and the corresponding % share of the total consignments this represents.</a:t>
          </a:r>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1020722</xdr:colOff>
      <xdr:row>9</xdr:row>
      <xdr:rowOff>16783</xdr:rowOff>
    </xdr:from>
    <xdr:to>
      <xdr:col>15</xdr:col>
      <xdr:colOff>145676</xdr:colOff>
      <xdr:row>15</xdr:row>
      <xdr:rowOff>22411</xdr:rowOff>
    </xdr:to>
    <xdr:cxnSp macro="">
      <xdr:nvCxnSpPr>
        <xdr:cNvPr id="64" name="Straight Arrow Connector 5">
          <a:extLst>
            <a:ext uri="{FF2B5EF4-FFF2-40B4-BE49-F238E27FC236}">
              <a16:creationId xmlns:a16="http://schemas.microsoft.com/office/drawing/2014/main" id="{1F73F79A-B7DB-449D-A95D-FED9A3772B76}"/>
            </a:ext>
          </a:extLst>
        </xdr:cNvPr>
        <xdr:cNvCxnSpPr/>
      </xdr:nvCxnSpPr>
      <xdr:spPr>
        <a:xfrm flipH="1" flipV="1">
          <a:off x="17246840" y="2986342"/>
          <a:ext cx="559307" cy="107018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31659</xdr:colOff>
      <xdr:row>8</xdr:row>
      <xdr:rowOff>88265</xdr:rowOff>
    </xdr:from>
    <xdr:to>
      <xdr:col>14</xdr:col>
      <xdr:colOff>112058</xdr:colOff>
      <xdr:row>8</xdr:row>
      <xdr:rowOff>88265</xdr:rowOff>
    </xdr:to>
    <xdr:cxnSp macro="">
      <xdr:nvCxnSpPr>
        <xdr:cNvPr id="3" name="Straight Arrow Connector 6">
          <a:extLst>
            <a:ext uri="{FF2B5EF4-FFF2-40B4-BE49-F238E27FC236}">
              <a16:creationId xmlns:a16="http://schemas.microsoft.com/office/drawing/2014/main" id="{90AE4BCC-B244-4C60-928F-24942D8E7656}"/>
            </a:ext>
          </a:extLst>
        </xdr:cNvPr>
        <xdr:cNvCxnSpPr/>
      </xdr:nvCxnSpPr>
      <xdr:spPr>
        <a:xfrm flipH="1">
          <a:off x="16257777" y="2878530"/>
          <a:ext cx="80399" cy="0"/>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54428</xdr:colOff>
      <xdr:row>9</xdr:row>
      <xdr:rowOff>22412</xdr:rowOff>
    </xdr:from>
    <xdr:to>
      <xdr:col>14</xdr:col>
      <xdr:colOff>504264</xdr:colOff>
      <xdr:row>19</xdr:row>
      <xdr:rowOff>0</xdr:rowOff>
    </xdr:to>
    <xdr:cxnSp macro="">
      <xdr:nvCxnSpPr>
        <xdr:cNvPr id="33" name="Straight Arrow Connector 9">
          <a:extLst>
            <a:ext uri="{FF2B5EF4-FFF2-40B4-BE49-F238E27FC236}">
              <a16:creationId xmlns:a16="http://schemas.microsoft.com/office/drawing/2014/main" id="{A7043B95-0D5D-4068-B236-4FE6DA9B6A99}"/>
            </a:ext>
          </a:extLst>
        </xdr:cNvPr>
        <xdr:cNvCxnSpPr/>
      </xdr:nvCxnSpPr>
      <xdr:spPr>
        <a:xfrm flipH="1">
          <a:off x="16280546" y="2991971"/>
          <a:ext cx="449836" cy="1972235"/>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477024</xdr:colOff>
      <xdr:row>1</xdr:row>
      <xdr:rowOff>88750</xdr:rowOff>
    </xdr:from>
    <xdr:to>
      <xdr:col>14</xdr:col>
      <xdr:colOff>411442</xdr:colOff>
      <xdr:row>4</xdr:row>
      <xdr:rowOff>426651</xdr:rowOff>
    </xdr:to>
    <xdr:cxnSp macro="">
      <xdr:nvCxnSpPr>
        <xdr:cNvPr id="22" name="Straight Arrow Connector 20">
          <a:extLst>
            <a:ext uri="{FF2B5EF4-FFF2-40B4-BE49-F238E27FC236}">
              <a16:creationId xmlns:a16="http://schemas.microsoft.com/office/drawing/2014/main" id="{1877C5FD-7C43-43BF-9A77-8CA2B9544AEE}"/>
            </a:ext>
          </a:extLst>
        </xdr:cNvPr>
        <xdr:cNvCxnSpPr>
          <a:cxnSpLocks/>
          <a:stCxn id="11" idx="1"/>
        </xdr:cNvCxnSpPr>
      </xdr:nvCxnSpPr>
      <xdr:spPr>
        <a:xfrm flipH="1">
          <a:off x="15705818" y="492162"/>
          <a:ext cx="931742" cy="98784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xdr:row>
      <xdr:rowOff>95250</xdr:rowOff>
    </xdr:from>
    <xdr:to>
      <xdr:col>19</xdr:col>
      <xdr:colOff>2815</xdr:colOff>
      <xdr:row>8</xdr:row>
      <xdr:rowOff>131356</xdr:rowOff>
    </xdr:to>
    <xdr:cxnSp macro="">
      <xdr:nvCxnSpPr>
        <xdr:cNvPr id="5" name="Straight Arrow Connector 5">
          <a:extLst>
            <a:ext uri="{FF2B5EF4-FFF2-40B4-BE49-F238E27FC236}">
              <a16:creationId xmlns:a16="http://schemas.microsoft.com/office/drawing/2014/main" id="{59557D79-9971-44AA-9F3E-590062A83BD7}"/>
            </a:ext>
          </a:extLst>
        </xdr:cNvPr>
        <xdr:cNvCxnSpPr/>
      </xdr:nvCxnSpPr>
      <xdr:spPr>
        <a:xfrm flipH="1" flipV="1">
          <a:off x="18015857" y="2816679"/>
          <a:ext cx="1431565" cy="3610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846818</xdr:colOff>
      <xdr:row>14</xdr:row>
      <xdr:rowOff>95250</xdr:rowOff>
    </xdr:from>
    <xdr:to>
      <xdr:col>19</xdr:col>
      <xdr:colOff>870857</xdr:colOff>
      <xdr:row>19</xdr:row>
      <xdr:rowOff>0</xdr:rowOff>
    </xdr:to>
    <xdr:cxnSp macro="">
      <xdr:nvCxnSpPr>
        <xdr:cNvPr id="31" name="Straight Arrow Connector 5">
          <a:extLst>
            <a:ext uri="{FF2B5EF4-FFF2-40B4-BE49-F238E27FC236}">
              <a16:creationId xmlns:a16="http://schemas.microsoft.com/office/drawing/2014/main" id="{C116381A-82B2-43E9-AFA9-E14F506B5F8F}"/>
            </a:ext>
          </a:extLst>
        </xdr:cNvPr>
        <xdr:cNvCxnSpPr/>
      </xdr:nvCxnSpPr>
      <xdr:spPr>
        <a:xfrm flipH="1">
          <a:off x="19978461" y="4109357"/>
          <a:ext cx="24039" cy="772433"/>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1078139</xdr:colOff>
      <xdr:row>14</xdr:row>
      <xdr:rowOff>136072</xdr:rowOff>
    </xdr:from>
    <xdr:to>
      <xdr:col>19</xdr:col>
      <xdr:colOff>857250</xdr:colOff>
      <xdr:row>19</xdr:row>
      <xdr:rowOff>0</xdr:rowOff>
    </xdr:to>
    <xdr:cxnSp macro="">
      <xdr:nvCxnSpPr>
        <xdr:cNvPr id="32" name="Straight Arrow Connector 5">
          <a:extLst>
            <a:ext uri="{FF2B5EF4-FFF2-40B4-BE49-F238E27FC236}">
              <a16:creationId xmlns:a16="http://schemas.microsoft.com/office/drawing/2014/main" id="{C67511BA-3413-4AB3-80EE-CB6515D203A1}"/>
            </a:ext>
          </a:extLst>
        </xdr:cNvPr>
        <xdr:cNvCxnSpPr/>
      </xdr:nvCxnSpPr>
      <xdr:spPr>
        <a:xfrm flipH="1">
          <a:off x="18753818" y="4150179"/>
          <a:ext cx="1235075" cy="70757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698725</xdr:colOff>
      <xdr:row>15</xdr:row>
      <xdr:rowOff>87287</xdr:rowOff>
    </xdr:from>
    <xdr:to>
      <xdr:col>21</xdr:col>
      <xdr:colOff>114300</xdr:colOff>
      <xdr:row>19</xdr:row>
      <xdr:rowOff>123825</xdr:rowOff>
    </xdr:to>
    <xdr:cxnSp macro="">
      <xdr:nvCxnSpPr>
        <xdr:cNvPr id="34" name="Straight Arrow Connector 5">
          <a:extLst>
            <a:ext uri="{FF2B5EF4-FFF2-40B4-BE49-F238E27FC236}">
              <a16:creationId xmlns:a16="http://schemas.microsoft.com/office/drawing/2014/main" id="{87A25FA4-C9E1-4BBB-9226-ABB466145FE0}"/>
            </a:ext>
          </a:extLst>
        </xdr:cNvPr>
        <xdr:cNvCxnSpPr>
          <a:stCxn id="9" idx="2"/>
        </xdr:cNvCxnSpPr>
      </xdr:nvCxnSpPr>
      <xdr:spPr>
        <a:xfrm>
          <a:off x="20615500" y="4144937"/>
          <a:ext cx="891950" cy="76043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906907</xdr:colOff>
      <xdr:row>15</xdr:row>
      <xdr:rowOff>35217</xdr:rowOff>
    </xdr:from>
    <xdr:to>
      <xdr:col>16</xdr:col>
      <xdr:colOff>1247029</xdr:colOff>
      <xdr:row>18</xdr:row>
      <xdr:rowOff>112059</xdr:rowOff>
    </xdr:to>
    <xdr:sp macro="" textlink="">
      <xdr:nvSpPr>
        <xdr:cNvPr id="51" name="TextBox 10">
          <a:extLst>
            <a:ext uri="{FF2B5EF4-FFF2-40B4-BE49-F238E27FC236}">
              <a16:creationId xmlns:a16="http://schemas.microsoft.com/office/drawing/2014/main" id="{C95364B4-A7A9-4257-82A4-DFCC58B9CF0F}"/>
            </a:ext>
          </a:extLst>
        </xdr:cNvPr>
        <xdr:cNvSpPr txBox="1"/>
      </xdr:nvSpPr>
      <xdr:spPr>
        <a:xfrm>
          <a:off x="17133025" y="4069335"/>
          <a:ext cx="2390798" cy="61472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electricity/heat inputs and hydrogen output.</a:t>
          </a:r>
          <a:endParaRPr lang="en-GB" sz="1100"/>
        </a:p>
      </xdr:txBody>
    </xdr:sp>
    <xdr:clientData/>
  </xdr:twoCellAnchor>
  <xdr:twoCellAnchor>
    <xdr:from>
      <xdr:col>18</xdr:col>
      <xdr:colOff>1436007</xdr:colOff>
      <xdr:row>7</xdr:row>
      <xdr:rowOff>87993</xdr:rowOff>
    </xdr:from>
    <xdr:to>
      <xdr:col>21</xdr:col>
      <xdr:colOff>10432</xdr:colOff>
      <xdr:row>10</xdr:row>
      <xdr:rowOff>190500</xdr:rowOff>
    </xdr:to>
    <xdr:sp macro="" textlink="">
      <xdr:nvSpPr>
        <xdr:cNvPr id="37" name="TextBox 11">
          <a:extLst>
            <a:ext uri="{FF2B5EF4-FFF2-40B4-BE49-F238E27FC236}">
              <a16:creationId xmlns:a16="http://schemas.microsoft.com/office/drawing/2014/main" id="{312B19F3-5A0D-470F-9BCC-073D65F61423}"/>
            </a:ext>
          </a:extLst>
        </xdr:cNvPr>
        <xdr:cNvSpPr txBox="1"/>
      </xdr:nvSpPr>
      <xdr:spPr>
        <a:xfrm>
          <a:off x="19179721" y="2646136"/>
          <a:ext cx="2615747" cy="63318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step allocation factor is calculated based on the LHV energy content of all products and co-products.</a:t>
          </a:r>
        </a:p>
      </xdr:txBody>
    </xdr:sp>
    <xdr:clientData/>
  </xdr:twoCellAnchor>
  <xdr:twoCellAnchor>
    <xdr:from>
      <xdr:col>1</xdr:col>
      <xdr:colOff>11550</xdr:colOff>
      <xdr:row>4</xdr:row>
      <xdr:rowOff>7436</xdr:rowOff>
    </xdr:from>
    <xdr:to>
      <xdr:col>2</xdr:col>
      <xdr:colOff>2387599</xdr:colOff>
      <xdr:row>4</xdr:row>
      <xdr:rowOff>835566</xdr:rowOff>
    </xdr:to>
    <xdr:sp macro="" textlink="">
      <xdr:nvSpPr>
        <xdr:cNvPr id="23" name="TextBox 17">
          <a:extLst>
            <a:ext uri="{FF2B5EF4-FFF2-40B4-BE49-F238E27FC236}">
              <a16:creationId xmlns:a16="http://schemas.microsoft.com/office/drawing/2014/main" id="{2CBCF78C-4D14-4743-ACE4-8C2A9D2BD09C}"/>
            </a:ext>
          </a:extLst>
        </xdr:cNvPr>
        <xdr:cNvSpPr txBox="1"/>
      </xdr:nvSpPr>
      <xdr:spPr>
        <a:xfrm>
          <a:off x="299417" y="1065769"/>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18</xdr:col>
      <xdr:colOff>1285873</xdr:colOff>
      <xdr:row>11</xdr:row>
      <xdr:rowOff>167911</xdr:rowOff>
    </xdr:from>
    <xdr:to>
      <xdr:col>22</xdr:col>
      <xdr:colOff>105862</xdr:colOff>
      <xdr:row>15</xdr:row>
      <xdr:rowOff>85382</xdr:rowOff>
    </xdr:to>
    <xdr:sp macro="" textlink="">
      <xdr:nvSpPr>
        <xdr:cNvPr id="9" name="TextBox 27">
          <a:extLst>
            <a:ext uri="{FF2B5EF4-FFF2-40B4-BE49-F238E27FC236}">
              <a16:creationId xmlns:a16="http://schemas.microsoft.com/office/drawing/2014/main" id="{CD07B94D-CA09-4EB6-B3A0-39B11C0789DA}"/>
            </a:ext>
          </a:extLst>
        </xdr:cNvPr>
        <xdr:cNvSpPr txBox="1"/>
      </xdr:nvSpPr>
      <xdr:spPr>
        <a:xfrm>
          <a:off x="18345148" y="3501661"/>
          <a:ext cx="4544514" cy="64137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GHG intensity of each input/output is used to calculate the total emissions from each category on a /MJ main output basis. Note</a:t>
          </a:r>
          <a:r>
            <a:rPr lang="en-GB" sz="1100" baseline="0"/>
            <a:t> the GHG intensity has units gCO</a:t>
          </a:r>
          <a:r>
            <a:rPr lang="en-GB" sz="1100" baseline="-25000"/>
            <a:t>2</a:t>
          </a:r>
          <a:r>
            <a:rPr lang="en-GB" sz="1100" baseline="0"/>
            <a:t>e/kg for flows with tonnes/yr units.</a:t>
          </a:r>
          <a:endParaRPr lang="en-GB" sz="1100"/>
        </a:p>
      </xdr:txBody>
    </xdr:sp>
    <xdr:clientData/>
  </xdr:twoCellAnchor>
  <xdr:twoCellAnchor>
    <xdr:from>
      <xdr:col>14</xdr:col>
      <xdr:colOff>28484</xdr:colOff>
      <xdr:row>8</xdr:row>
      <xdr:rowOff>145676</xdr:rowOff>
    </xdr:from>
    <xdr:to>
      <xdr:col>14</xdr:col>
      <xdr:colOff>493058</xdr:colOff>
      <xdr:row>25</xdr:row>
      <xdr:rowOff>2134</xdr:rowOff>
    </xdr:to>
    <xdr:cxnSp macro="">
      <xdr:nvCxnSpPr>
        <xdr:cNvPr id="16" name="Straight Arrow Connector 9">
          <a:extLst>
            <a:ext uri="{FF2B5EF4-FFF2-40B4-BE49-F238E27FC236}">
              <a16:creationId xmlns:a16="http://schemas.microsoft.com/office/drawing/2014/main" id="{701E8559-AB6D-441B-ACF0-3E46433D11BA}"/>
            </a:ext>
          </a:extLst>
        </xdr:cNvPr>
        <xdr:cNvCxnSpPr/>
      </xdr:nvCxnSpPr>
      <xdr:spPr>
        <a:xfrm flipH="1">
          <a:off x="16254602" y="2935941"/>
          <a:ext cx="464574" cy="3319075"/>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10432</xdr:colOff>
      <xdr:row>9</xdr:row>
      <xdr:rowOff>33617</xdr:rowOff>
    </xdr:from>
    <xdr:to>
      <xdr:col>14</xdr:col>
      <xdr:colOff>537882</xdr:colOff>
      <xdr:row>29</xdr:row>
      <xdr:rowOff>863</xdr:rowOff>
    </xdr:to>
    <xdr:cxnSp macro="">
      <xdr:nvCxnSpPr>
        <xdr:cNvPr id="17" name="Straight Arrow Connector 9">
          <a:extLst>
            <a:ext uri="{FF2B5EF4-FFF2-40B4-BE49-F238E27FC236}">
              <a16:creationId xmlns:a16="http://schemas.microsoft.com/office/drawing/2014/main" id="{DB59B409-1378-4C11-9074-CBC9260A2ECF}"/>
            </a:ext>
          </a:extLst>
        </xdr:cNvPr>
        <xdr:cNvCxnSpPr/>
      </xdr:nvCxnSpPr>
      <xdr:spPr>
        <a:xfrm flipH="1">
          <a:off x="16236550" y="3003176"/>
          <a:ext cx="527450" cy="4180658"/>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21227</xdr:colOff>
      <xdr:row>9</xdr:row>
      <xdr:rowOff>33617</xdr:rowOff>
    </xdr:from>
    <xdr:to>
      <xdr:col>14</xdr:col>
      <xdr:colOff>560294</xdr:colOff>
      <xdr:row>36</xdr:row>
      <xdr:rowOff>359501</xdr:rowOff>
    </xdr:to>
    <xdr:cxnSp macro="">
      <xdr:nvCxnSpPr>
        <xdr:cNvPr id="18" name="Straight Arrow Connector 9">
          <a:extLst>
            <a:ext uri="{FF2B5EF4-FFF2-40B4-BE49-F238E27FC236}">
              <a16:creationId xmlns:a16="http://schemas.microsoft.com/office/drawing/2014/main" id="{93EEBA12-4005-4304-9B5B-9D1A7D0BD858}"/>
            </a:ext>
          </a:extLst>
        </xdr:cNvPr>
        <xdr:cNvCxnSpPr/>
      </xdr:nvCxnSpPr>
      <xdr:spPr>
        <a:xfrm flipH="1">
          <a:off x="16247345" y="3003176"/>
          <a:ext cx="539067" cy="5290090"/>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414617</xdr:colOff>
      <xdr:row>0</xdr:row>
      <xdr:rowOff>156882</xdr:rowOff>
    </xdr:from>
    <xdr:to>
      <xdr:col>19</xdr:col>
      <xdr:colOff>280147</xdr:colOff>
      <xdr:row>2</xdr:row>
      <xdr:rowOff>159944</xdr:rowOff>
    </xdr:to>
    <xdr:sp macro="" textlink="">
      <xdr:nvSpPr>
        <xdr:cNvPr id="11" name="TextBox 8">
          <a:extLst>
            <a:ext uri="{FF2B5EF4-FFF2-40B4-BE49-F238E27FC236}">
              <a16:creationId xmlns:a16="http://schemas.microsoft.com/office/drawing/2014/main" id="{F4636034-6F4D-4828-A273-2F5F4FD1C093}"/>
            </a:ext>
          </a:extLst>
        </xdr:cNvPr>
        <xdr:cNvSpPr txBox="1"/>
      </xdr:nvSpPr>
      <xdr:spPr>
        <a:xfrm>
          <a:off x="16640735" y="156882"/>
          <a:ext cx="5905500"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twoCellAnchor>
    <xdr:from>
      <xdr:col>16</xdr:col>
      <xdr:colOff>512669</xdr:colOff>
      <xdr:row>2</xdr:row>
      <xdr:rowOff>160245</xdr:rowOff>
    </xdr:from>
    <xdr:to>
      <xdr:col>16</xdr:col>
      <xdr:colOff>520353</xdr:colOff>
      <xdr:row>4</xdr:row>
      <xdr:rowOff>350745</xdr:rowOff>
    </xdr:to>
    <xdr:cxnSp macro="">
      <xdr:nvCxnSpPr>
        <xdr:cNvPr id="13" name="Straight Arrow Connector 12">
          <a:extLst>
            <a:ext uri="{FF2B5EF4-FFF2-40B4-BE49-F238E27FC236}">
              <a16:creationId xmlns:a16="http://schemas.microsoft.com/office/drawing/2014/main" id="{2C74C5B1-7287-43DD-B30D-F965536EE380}"/>
            </a:ext>
          </a:extLst>
        </xdr:cNvPr>
        <xdr:cNvCxnSpPr>
          <a:cxnSpLocks/>
        </xdr:cNvCxnSpPr>
      </xdr:nvCxnSpPr>
      <xdr:spPr>
        <a:xfrm>
          <a:off x="17981519" y="817470"/>
          <a:ext cx="7684" cy="5715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979714</xdr:colOff>
      <xdr:row>9</xdr:row>
      <xdr:rowOff>9605</xdr:rowOff>
    </xdr:from>
    <xdr:to>
      <xdr:col>14</xdr:col>
      <xdr:colOff>548555</xdr:colOff>
      <xdr:row>32</xdr:row>
      <xdr:rowOff>72572</xdr:rowOff>
    </xdr:to>
    <xdr:cxnSp macro="">
      <xdr:nvCxnSpPr>
        <xdr:cNvPr id="2" name="Straight Arrow Connector 9">
          <a:extLst>
            <a:ext uri="{FF2B5EF4-FFF2-40B4-BE49-F238E27FC236}">
              <a16:creationId xmlns:a16="http://schemas.microsoft.com/office/drawing/2014/main" id="{47D7D08E-0CD8-4EBE-9EFF-9353D4C7B78A}"/>
            </a:ext>
          </a:extLst>
        </xdr:cNvPr>
        <xdr:cNvCxnSpPr/>
      </xdr:nvCxnSpPr>
      <xdr:spPr>
        <a:xfrm flipH="1">
          <a:off x="16219714" y="3003176"/>
          <a:ext cx="566698" cy="4888967"/>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E4Tech_theme">
  <a:themeElements>
    <a:clrScheme name="Custom 1">
      <a:dk1>
        <a:srgbClr val="000000"/>
      </a:dk1>
      <a:lt1>
        <a:srgbClr val="FFFFFF"/>
      </a:lt1>
      <a:dk2>
        <a:srgbClr val="000098"/>
      </a:dk2>
      <a:lt2>
        <a:srgbClr val="D8D9DB"/>
      </a:lt2>
      <a:accent1>
        <a:srgbClr val="1B429A"/>
      </a:accent1>
      <a:accent2>
        <a:srgbClr val="1383BD"/>
      </a:accent2>
      <a:accent3>
        <a:srgbClr val="6AB0E0"/>
      </a:accent3>
      <a:accent4>
        <a:srgbClr val="957FB5"/>
      </a:accent4>
      <a:accent5>
        <a:srgbClr val="4B8A60"/>
      </a:accent5>
      <a:accent6>
        <a:srgbClr val="8CB57E"/>
      </a:accent6>
      <a:hlink>
        <a:srgbClr val="001D4F"/>
      </a:hlink>
      <a:folHlink>
        <a:srgbClr val="001D4F"/>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58.bin"/><Relationship Id="rId3" Type="http://schemas.openxmlformats.org/officeDocument/2006/relationships/printerSettings" Target="../printerSettings/printerSettings53.bin"/><Relationship Id="rId7" Type="http://schemas.openxmlformats.org/officeDocument/2006/relationships/printerSettings" Target="../printerSettings/printerSettings57.bin"/><Relationship Id="rId12" Type="http://schemas.openxmlformats.org/officeDocument/2006/relationships/comments" Target="../comments1.x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6" Type="http://schemas.openxmlformats.org/officeDocument/2006/relationships/printerSettings" Target="../printerSettings/printerSettings56.bin"/><Relationship Id="rId11" Type="http://schemas.openxmlformats.org/officeDocument/2006/relationships/vmlDrawing" Target="../drawings/vmlDrawing1.vml"/><Relationship Id="rId5" Type="http://schemas.openxmlformats.org/officeDocument/2006/relationships/printerSettings" Target="../printerSettings/printerSettings55.bin"/><Relationship Id="rId10" Type="http://schemas.openxmlformats.org/officeDocument/2006/relationships/printerSettings" Target="../printerSettings/printerSettings60.bin"/><Relationship Id="rId4" Type="http://schemas.openxmlformats.org/officeDocument/2006/relationships/printerSettings" Target="../printerSettings/printerSettings54.bin"/><Relationship Id="rId9" Type="http://schemas.openxmlformats.org/officeDocument/2006/relationships/printerSettings" Target="../printerSettings/printerSettings59.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printerSettings" Target="../printerSettings/printerSettings63.bin"/><Relationship Id="rId7" Type="http://schemas.openxmlformats.org/officeDocument/2006/relationships/printerSettings" Target="../printerSettings/printerSettings67.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10" Type="http://schemas.openxmlformats.org/officeDocument/2006/relationships/printerSettings" Target="../printerSettings/printerSettings70.bin"/><Relationship Id="rId4" Type="http://schemas.openxmlformats.org/officeDocument/2006/relationships/printerSettings" Target="../printerSettings/printerSettings64.bin"/><Relationship Id="rId9" Type="http://schemas.openxmlformats.org/officeDocument/2006/relationships/printerSettings" Target="../printerSettings/printerSettings6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78.bin"/><Relationship Id="rId3" Type="http://schemas.openxmlformats.org/officeDocument/2006/relationships/printerSettings" Target="../printerSettings/printerSettings73.bin"/><Relationship Id="rId7" Type="http://schemas.openxmlformats.org/officeDocument/2006/relationships/printerSettings" Target="../printerSettings/printerSettings77.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5" Type="http://schemas.openxmlformats.org/officeDocument/2006/relationships/printerSettings" Target="../printerSettings/printerSettings75.bin"/><Relationship Id="rId10" Type="http://schemas.openxmlformats.org/officeDocument/2006/relationships/printerSettings" Target="../printerSettings/printerSettings80.bin"/><Relationship Id="rId4" Type="http://schemas.openxmlformats.org/officeDocument/2006/relationships/printerSettings" Target="../printerSettings/printerSettings74.bin"/><Relationship Id="rId9" Type="http://schemas.openxmlformats.org/officeDocument/2006/relationships/printerSettings" Target="../printerSettings/printerSettings79.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88.bin"/><Relationship Id="rId13" Type="http://schemas.openxmlformats.org/officeDocument/2006/relationships/hyperlink" Target="https://www.gov.uk/government/publications/biofuels-carbon-calculator-rtfo" TargetMode="External"/><Relationship Id="rId18" Type="http://schemas.openxmlformats.org/officeDocument/2006/relationships/hyperlink" Target="https://publications.jrc.ec.europa.eu/repository/handle/JRC104759" TargetMode="External"/><Relationship Id="rId3" Type="http://schemas.openxmlformats.org/officeDocument/2006/relationships/printerSettings" Target="../printerSettings/printerSettings83.bin"/><Relationship Id="rId21" Type="http://schemas.openxmlformats.org/officeDocument/2006/relationships/hyperlink" Target="https://web.archive.org/web/20190605065129/http:/www.arb.ca.gov/fuels/lcfs/workgroups/lcfssustain/ISCC_EU_205_GHG_Calculation_and_GHG_Audit_2.3_eng.pdf" TargetMode="External"/><Relationship Id="rId7" Type="http://schemas.openxmlformats.org/officeDocument/2006/relationships/printerSettings" Target="../printerSettings/printerSettings87.bin"/><Relationship Id="rId12" Type="http://schemas.openxmlformats.org/officeDocument/2006/relationships/hyperlink" Target="https://assets.publishing.service.gov.uk/government/uploads/system/uploads/attachment_data/file/947712/carbon-intensity-data-templates-2021.ods" TargetMode="External"/><Relationship Id="rId17" Type="http://schemas.openxmlformats.org/officeDocument/2006/relationships/hyperlink" Target="https://www.gov.uk/government/publications/uk-low-carbon-hydrogen-standard-emissions-reporting-and-sustainability-criteria" TargetMode="External"/><Relationship Id="rId2" Type="http://schemas.openxmlformats.org/officeDocument/2006/relationships/printerSettings" Target="../printerSettings/printerSettings82.bin"/><Relationship Id="rId16" Type="http://schemas.openxmlformats.org/officeDocument/2006/relationships/hyperlink" Target="https://www.gov.uk/government/publications/uk-low-carbon-hydrogen-standard-emissions-reporting-and-sustainability-criteria" TargetMode="External"/><Relationship Id="rId20" Type="http://schemas.openxmlformats.org/officeDocument/2006/relationships/hyperlink" Target="https://eur01.safelinks.protection.outlook.com/?url=https%3A%2F%2Fiea.blob.core.windows.net%2Fassets%2Fdeebef5d-0c34-4539-9d0c-10b13d840027%2FNetZeroby2050-ARoadmapfortheGlobalEnergySector_CORR.pdf&amp;data=05%7C01%7Cvon.chua%40e4tech.com%7C6c43196d55c247d8ecda08da220ab27e%7Cf2fe6bd39c4a485bae69e18820a88130%7C0%7C0%7C637859726588645422%7CUnknown%7CTWFpbGZsb3d8eyJWIjoiMC4wLjAwMDAiLCJQIjoiV2luMzIiLCJBTiI6Ik1haWwiLCJXVCI6Mn0%3D%7C3000%7C%7C%7C&amp;sdata=rpG8wo6ixFZnPOqx8GTUyk7%2BxgrmPnJFOmN9oPewMQs%3D&amp;reserved=0" TargetMode="External"/><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11" Type="http://schemas.openxmlformats.org/officeDocument/2006/relationships/hyperlink" Target="https://eur-lex.europa.eu/legal-content/EN/TXT/PDF/?uri=CELEX:32018L2001&amp;from=EN" TargetMode="External"/><Relationship Id="rId5" Type="http://schemas.openxmlformats.org/officeDocument/2006/relationships/printerSettings" Target="../printerSettings/printerSettings85.bin"/><Relationship Id="rId15" Type="http://schemas.openxmlformats.org/officeDocument/2006/relationships/hyperlink" Target="https://www.gov.uk/government/publications/greenhouse-gas-reporting-conversion-factors-2023" TargetMode="External"/><Relationship Id="rId10" Type="http://schemas.openxmlformats.org/officeDocument/2006/relationships/hyperlink" Target="https://ec.europa.eu/jrc/en/publication/eur-scientific-and-technical-research-reports/jec-well-tank-report-v5" TargetMode="External"/><Relationship Id="rId19" Type="http://schemas.openxmlformats.org/officeDocument/2006/relationships/hyperlink" Target="https://op.europa.eu/en/publication-detail/-/publication/7d6dd4ba-720a-11e9-9f05-01aa75ed71a1" TargetMode="External"/><Relationship Id="rId4" Type="http://schemas.openxmlformats.org/officeDocument/2006/relationships/printerSettings" Target="../printerSettings/printerSettings84.bin"/><Relationship Id="rId9" Type="http://schemas.openxmlformats.org/officeDocument/2006/relationships/printerSettings" Target="../printerSettings/printerSettings89.bin"/><Relationship Id="rId14" Type="http://schemas.openxmlformats.org/officeDocument/2006/relationships/hyperlink" Target="https://www.gov.uk/government/publications/renewable-transport-fuel-obligation-rtfo-compliance-reporting-and-verification" TargetMode="External"/><Relationship Id="rId22" Type="http://schemas.openxmlformats.org/officeDocument/2006/relationships/printerSettings" Target="../printerSettings/printerSettings90.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98.bin"/><Relationship Id="rId3" Type="http://schemas.openxmlformats.org/officeDocument/2006/relationships/printerSettings" Target="../printerSettings/printerSettings93.bin"/><Relationship Id="rId7" Type="http://schemas.openxmlformats.org/officeDocument/2006/relationships/printerSettings" Target="../printerSettings/printerSettings97.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10" Type="http://schemas.openxmlformats.org/officeDocument/2006/relationships/printerSettings" Target="../printerSettings/printerSettings100.bin"/><Relationship Id="rId4" Type="http://schemas.openxmlformats.org/officeDocument/2006/relationships/printerSettings" Target="../printerSettings/printerSettings94.bin"/><Relationship Id="rId9" Type="http://schemas.openxmlformats.org/officeDocument/2006/relationships/printerSettings" Target="../printerSettings/printerSettings99.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08.bin"/><Relationship Id="rId3" Type="http://schemas.openxmlformats.org/officeDocument/2006/relationships/printerSettings" Target="../printerSettings/printerSettings103.bin"/><Relationship Id="rId7" Type="http://schemas.openxmlformats.org/officeDocument/2006/relationships/printerSettings" Target="../printerSettings/printerSettings107.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6" Type="http://schemas.openxmlformats.org/officeDocument/2006/relationships/printerSettings" Target="../printerSettings/printerSettings106.bin"/><Relationship Id="rId5" Type="http://schemas.openxmlformats.org/officeDocument/2006/relationships/printerSettings" Target="../printerSettings/printerSettings105.bin"/><Relationship Id="rId10" Type="http://schemas.openxmlformats.org/officeDocument/2006/relationships/printerSettings" Target="../printerSettings/printerSettings110.bin"/><Relationship Id="rId4" Type="http://schemas.openxmlformats.org/officeDocument/2006/relationships/printerSettings" Target="../printerSettings/printerSettings104.bin"/><Relationship Id="rId9" Type="http://schemas.openxmlformats.org/officeDocument/2006/relationships/printerSettings" Target="../printerSettings/printerSettings109.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18.bin"/><Relationship Id="rId3" Type="http://schemas.openxmlformats.org/officeDocument/2006/relationships/printerSettings" Target="../printerSettings/printerSettings113.bin"/><Relationship Id="rId7" Type="http://schemas.openxmlformats.org/officeDocument/2006/relationships/printerSettings" Target="../printerSettings/printerSettings117.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6" Type="http://schemas.openxmlformats.org/officeDocument/2006/relationships/printerSettings" Target="../printerSettings/printerSettings116.bin"/><Relationship Id="rId5" Type="http://schemas.openxmlformats.org/officeDocument/2006/relationships/printerSettings" Target="../printerSettings/printerSettings115.bin"/><Relationship Id="rId10" Type="http://schemas.openxmlformats.org/officeDocument/2006/relationships/printerSettings" Target="../printerSettings/printerSettings120.bin"/><Relationship Id="rId4" Type="http://schemas.openxmlformats.org/officeDocument/2006/relationships/printerSettings" Target="../printerSettings/printerSettings114.bin"/><Relationship Id="rId9" Type="http://schemas.openxmlformats.org/officeDocument/2006/relationships/printerSettings" Target="../printerSettings/printerSettings119.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28.bin"/><Relationship Id="rId3" Type="http://schemas.openxmlformats.org/officeDocument/2006/relationships/printerSettings" Target="../printerSettings/printerSettings123.bin"/><Relationship Id="rId7" Type="http://schemas.openxmlformats.org/officeDocument/2006/relationships/printerSettings" Target="../printerSettings/printerSettings127.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10" Type="http://schemas.openxmlformats.org/officeDocument/2006/relationships/printerSettings" Target="../printerSettings/printerSettings130.bin"/><Relationship Id="rId4" Type="http://schemas.openxmlformats.org/officeDocument/2006/relationships/printerSettings" Target="../printerSettings/printerSettings124.bin"/><Relationship Id="rId9" Type="http://schemas.openxmlformats.org/officeDocument/2006/relationships/printerSettings" Target="../printerSettings/printerSettings129.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38.bin"/><Relationship Id="rId3" Type="http://schemas.openxmlformats.org/officeDocument/2006/relationships/printerSettings" Target="../printerSettings/printerSettings133.bin"/><Relationship Id="rId7" Type="http://schemas.openxmlformats.org/officeDocument/2006/relationships/printerSettings" Target="../printerSettings/printerSettings137.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6" Type="http://schemas.openxmlformats.org/officeDocument/2006/relationships/printerSettings" Target="../printerSettings/printerSettings136.bin"/><Relationship Id="rId5" Type="http://schemas.openxmlformats.org/officeDocument/2006/relationships/printerSettings" Target="../printerSettings/printerSettings135.bin"/><Relationship Id="rId10" Type="http://schemas.openxmlformats.org/officeDocument/2006/relationships/printerSettings" Target="../printerSettings/printerSettings140.bin"/><Relationship Id="rId4" Type="http://schemas.openxmlformats.org/officeDocument/2006/relationships/printerSettings" Target="../printerSettings/printerSettings134.bin"/><Relationship Id="rId9" Type="http://schemas.openxmlformats.org/officeDocument/2006/relationships/printerSettings" Target="../printerSettings/printerSettings13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48.bin"/><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5" Type="http://schemas.openxmlformats.org/officeDocument/2006/relationships/printerSettings" Target="../printerSettings/printerSettings145.bin"/><Relationship Id="rId10" Type="http://schemas.openxmlformats.org/officeDocument/2006/relationships/printerSettings" Target="../printerSettings/printerSettings150.bin"/><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58.bin"/><Relationship Id="rId3" Type="http://schemas.openxmlformats.org/officeDocument/2006/relationships/printerSettings" Target="../printerSettings/printerSettings153.bin"/><Relationship Id="rId7" Type="http://schemas.openxmlformats.org/officeDocument/2006/relationships/printerSettings" Target="../printerSettings/printerSettings157.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5" Type="http://schemas.openxmlformats.org/officeDocument/2006/relationships/printerSettings" Target="../printerSettings/printerSettings155.bin"/><Relationship Id="rId10" Type="http://schemas.openxmlformats.org/officeDocument/2006/relationships/printerSettings" Target="../printerSettings/printerSettings160.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168.bin"/><Relationship Id="rId3" Type="http://schemas.openxmlformats.org/officeDocument/2006/relationships/printerSettings" Target="../printerSettings/printerSettings163.bin"/><Relationship Id="rId7" Type="http://schemas.openxmlformats.org/officeDocument/2006/relationships/printerSettings" Target="../printerSettings/printerSettings167.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5" Type="http://schemas.openxmlformats.org/officeDocument/2006/relationships/printerSettings" Target="../printerSettings/printerSettings165.bin"/><Relationship Id="rId10" Type="http://schemas.openxmlformats.org/officeDocument/2006/relationships/printerSettings" Target="../printerSettings/printerSettings170.bin"/><Relationship Id="rId4" Type="http://schemas.openxmlformats.org/officeDocument/2006/relationships/printerSettings" Target="../printerSettings/printerSettings164.bin"/><Relationship Id="rId9" Type="http://schemas.openxmlformats.org/officeDocument/2006/relationships/printerSettings" Target="../printerSettings/printerSettings169.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178.bin"/><Relationship Id="rId3" Type="http://schemas.openxmlformats.org/officeDocument/2006/relationships/printerSettings" Target="../printerSettings/printerSettings173.bin"/><Relationship Id="rId7" Type="http://schemas.openxmlformats.org/officeDocument/2006/relationships/printerSettings" Target="../printerSettings/printerSettings177.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6" Type="http://schemas.openxmlformats.org/officeDocument/2006/relationships/printerSettings" Target="../printerSettings/printerSettings176.bin"/><Relationship Id="rId11" Type="http://schemas.openxmlformats.org/officeDocument/2006/relationships/drawing" Target="../drawings/drawing9.xml"/><Relationship Id="rId5" Type="http://schemas.openxmlformats.org/officeDocument/2006/relationships/printerSettings" Target="../printerSettings/printerSettings175.bin"/><Relationship Id="rId10" Type="http://schemas.openxmlformats.org/officeDocument/2006/relationships/printerSettings" Target="../printerSettings/printerSettings180.bin"/><Relationship Id="rId4" Type="http://schemas.openxmlformats.org/officeDocument/2006/relationships/printerSettings" Target="../printerSettings/printerSettings174.bin"/><Relationship Id="rId9" Type="http://schemas.openxmlformats.org/officeDocument/2006/relationships/printerSettings" Target="../printerSettings/printerSettings179.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188.bin"/><Relationship Id="rId13" Type="http://schemas.openxmlformats.org/officeDocument/2006/relationships/comments" Target="../comments2.xml"/><Relationship Id="rId3" Type="http://schemas.openxmlformats.org/officeDocument/2006/relationships/printerSettings" Target="../printerSettings/printerSettings183.bin"/><Relationship Id="rId7" Type="http://schemas.openxmlformats.org/officeDocument/2006/relationships/printerSettings" Target="../printerSettings/printerSettings187.bin"/><Relationship Id="rId12" Type="http://schemas.openxmlformats.org/officeDocument/2006/relationships/vmlDrawing" Target="../drawings/vmlDrawing2.vml"/><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6" Type="http://schemas.openxmlformats.org/officeDocument/2006/relationships/printerSettings" Target="../printerSettings/printerSettings186.bin"/><Relationship Id="rId11" Type="http://schemas.openxmlformats.org/officeDocument/2006/relationships/drawing" Target="../drawings/drawing10.xml"/><Relationship Id="rId5" Type="http://schemas.openxmlformats.org/officeDocument/2006/relationships/printerSettings" Target="../printerSettings/printerSettings185.bin"/><Relationship Id="rId10" Type="http://schemas.openxmlformats.org/officeDocument/2006/relationships/printerSettings" Target="../printerSettings/printerSettings190.bin"/><Relationship Id="rId4" Type="http://schemas.openxmlformats.org/officeDocument/2006/relationships/printerSettings" Target="../printerSettings/printerSettings184.bin"/><Relationship Id="rId9" Type="http://schemas.openxmlformats.org/officeDocument/2006/relationships/printerSettings" Target="../printerSettings/printerSettings18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198.bin"/><Relationship Id="rId13" Type="http://schemas.openxmlformats.org/officeDocument/2006/relationships/comments" Target="../comments3.xml"/><Relationship Id="rId3" Type="http://schemas.openxmlformats.org/officeDocument/2006/relationships/printerSettings" Target="../printerSettings/printerSettings193.bin"/><Relationship Id="rId7" Type="http://schemas.openxmlformats.org/officeDocument/2006/relationships/printerSettings" Target="../printerSettings/printerSettings197.bin"/><Relationship Id="rId12" Type="http://schemas.openxmlformats.org/officeDocument/2006/relationships/vmlDrawing" Target="../drawings/vmlDrawing3.vml"/><Relationship Id="rId2" Type="http://schemas.openxmlformats.org/officeDocument/2006/relationships/printerSettings" Target="../printerSettings/printerSettings192.bin"/><Relationship Id="rId1" Type="http://schemas.openxmlformats.org/officeDocument/2006/relationships/printerSettings" Target="../printerSettings/printerSettings191.bin"/><Relationship Id="rId6" Type="http://schemas.openxmlformats.org/officeDocument/2006/relationships/printerSettings" Target="../printerSettings/printerSettings196.bin"/><Relationship Id="rId11" Type="http://schemas.openxmlformats.org/officeDocument/2006/relationships/drawing" Target="../drawings/drawing11.xml"/><Relationship Id="rId5" Type="http://schemas.openxmlformats.org/officeDocument/2006/relationships/printerSettings" Target="../printerSettings/printerSettings195.bin"/><Relationship Id="rId10" Type="http://schemas.openxmlformats.org/officeDocument/2006/relationships/printerSettings" Target="../printerSettings/printerSettings200.bin"/><Relationship Id="rId4" Type="http://schemas.openxmlformats.org/officeDocument/2006/relationships/printerSettings" Target="../printerSettings/printerSettings194.bin"/><Relationship Id="rId9" Type="http://schemas.openxmlformats.org/officeDocument/2006/relationships/printerSettings" Target="../printerSettings/printerSettings19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08.bin"/><Relationship Id="rId13" Type="http://schemas.openxmlformats.org/officeDocument/2006/relationships/comments" Target="../comments4.xml"/><Relationship Id="rId3" Type="http://schemas.openxmlformats.org/officeDocument/2006/relationships/printerSettings" Target="../printerSettings/printerSettings203.bin"/><Relationship Id="rId7" Type="http://schemas.openxmlformats.org/officeDocument/2006/relationships/printerSettings" Target="../printerSettings/printerSettings207.bin"/><Relationship Id="rId12" Type="http://schemas.openxmlformats.org/officeDocument/2006/relationships/vmlDrawing" Target="../drawings/vmlDrawing4.vml"/><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6" Type="http://schemas.openxmlformats.org/officeDocument/2006/relationships/printerSettings" Target="../printerSettings/printerSettings206.bin"/><Relationship Id="rId11" Type="http://schemas.openxmlformats.org/officeDocument/2006/relationships/drawing" Target="../drawings/drawing12.xml"/><Relationship Id="rId5" Type="http://schemas.openxmlformats.org/officeDocument/2006/relationships/printerSettings" Target="../printerSettings/printerSettings205.bin"/><Relationship Id="rId10" Type="http://schemas.openxmlformats.org/officeDocument/2006/relationships/printerSettings" Target="../printerSettings/printerSettings210.bin"/><Relationship Id="rId4" Type="http://schemas.openxmlformats.org/officeDocument/2006/relationships/printerSettings" Target="../printerSettings/printerSettings204.bin"/><Relationship Id="rId9" Type="http://schemas.openxmlformats.org/officeDocument/2006/relationships/printerSettings" Target="../printerSettings/printerSettings209.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18.bin"/><Relationship Id="rId13" Type="http://schemas.openxmlformats.org/officeDocument/2006/relationships/comments" Target="../comments5.xml"/><Relationship Id="rId3" Type="http://schemas.openxmlformats.org/officeDocument/2006/relationships/printerSettings" Target="../printerSettings/printerSettings213.bin"/><Relationship Id="rId7" Type="http://schemas.openxmlformats.org/officeDocument/2006/relationships/printerSettings" Target="../printerSettings/printerSettings217.bin"/><Relationship Id="rId12" Type="http://schemas.openxmlformats.org/officeDocument/2006/relationships/vmlDrawing" Target="../drawings/vmlDrawing5.vml"/><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6" Type="http://schemas.openxmlformats.org/officeDocument/2006/relationships/printerSettings" Target="../printerSettings/printerSettings216.bin"/><Relationship Id="rId11" Type="http://schemas.openxmlformats.org/officeDocument/2006/relationships/drawing" Target="../drawings/drawing13.xml"/><Relationship Id="rId5" Type="http://schemas.openxmlformats.org/officeDocument/2006/relationships/printerSettings" Target="../printerSettings/printerSettings215.bin"/><Relationship Id="rId10" Type="http://schemas.openxmlformats.org/officeDocument/2006/relationships/printerSettings" Target="../printerSettings/printerSettings220.bin"/><Relationship Id="rId4" Type="http://schemas.openxmlformats.org/officeDocument/2006/relationships/printerSettings" Target="../printerSettings/printerSettings214.bin"/><Relationship Id="rId9" Type="http://schemas.openxmlformats.org/officeDocument/2006/relationships/printerSettings" Target="../printerSettings/printerSettings219.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28.bin"/><Relationship Id="rId13" Type="http://schemas.openxmlformats.org/officeDocument/2006/relationships/comments" Target="../comments6.xml"/><Relationship Id="rId3" Type="http://schemas.openxmlformats.org/officeDocument/2006/relationships/printerSettings" Target="../printerSettings/printerSettings223.bin"/><Relationship Id="rId7" Type="http://schemas.openxmlformats.org/officeDocument/2006/relationships/printerSettings" Target="../printerSettings/printerSettings227.bin"/><Relationship Id="rId12" Type="http://schemas.openxmlformats.org/officeDocument/2006/relationships/vmlDrawing" Target="../drawings/vmlDrawing6.vml"/><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 Id="rId6" Type="http://schemas.openxmlformats.org/officeDocument/2006/relationships/printerSettings" Target="../printerSettings/printerSettings226.bin"/><Relationship Id="rId11" Type="http://schemas.openxmlformats.org/officeDocument/2006/relationships/drawing" Target="../drawings/drawing14.xml"/><Relationship Id="rId5" Type="http://schemas.openxmlformats.org/officeDocument/2006/relationships/printerSettings" Target="../printerSettings/printerSettings225.bin"/><Relationship Id="rId10" Type="http://schemas.openxmlformats.org/officeDocument/2006/relationships/printerSettings" Target="../printerSettings/printerSettings230.bin"/><Relationship Id="rId4" Type="http://schemas.openxmlformats.org/officeDocument/2006/relationships/printerSettings" Target="../printerSettings/printerSettings224.bin"/><Relationship Id="rId9" Type="http://schemas.openxmlformats.org/officeDocument/2006/relationships/printerSettings" Target="../printerSettings/printerSettings229.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238.bin"/><Relationship Id="rId13" Type="http://schemas.openxmlformats.org/officeDocument/2006/relationships/comments" Target="../comments7.xml"/><Relationship Id="rId3" Type="http://schemas.openxmlformats.org/officeDocument/2006/relationships/printerSettings" Target="../printerSettings/printerSettings233.bin"/><Relationship Id="rId7" Type="http://schemas.openxmlformats.org/officeDocument/2006/relationships/printerSettings" Target="../printerSettings/printerSettings237.bin"/><Relationship Id="rId12" Type="http://schemas.openxmlformats.org/officeDocument/2006/relationships/vmlDrawing" Target="../drawings/vmlDrawing7.vml"/><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 Id="rId6" Type="http://schemas.openxmlformats.org/officeDocument/2006/relationships/printerSettings" Target="../printerSettings/printerSettings236.bin"/><Relationship Id="rId11" Type="http://schemas.openxmlformats.org/officeDocument/2006/relationships/drawing" Target="../drawings/drawing15.xml"/><Relationship Id="rId5" Type="http://schemas.openxmlformats.org/officeDocument/2006/relationships/printerSettings" Target="../printerSettings/printerSettings235.bin"/><Relationship Id="rId10" Type="http://schemas.openxmlformats.org/officeDocument/2006/relationships/printerSettings" Target="../printerSettings/printerSettings240.bin"/><Relationship Id="rId4" Type="http://schemas.openxmlformats.org/officeDocument/2006/relationships/printerSettings" Target="../printerSettings/printerSettings234.bin"/><Relationship Id="rId9" Type="http://schemas.openxmlformats.org/officeDocument/2006/relationships/printerSettings" Target="../printerSettings/printerSettings239.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48.bin"/><Relationship Id="rId3" Type="http://schemas.openxmlformats.org/officeDocument/2006/relationships/printerSettings" Target="../printerSettings/printerSettings243.bin"/><Relationship Id="rId7" Type="http://schemas.openxmlformats.org/officeDocument/2006/relationships/printerSettings" Target="../printerSettings/printerSettings247.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6" Type="http://schemas.openxmlformats.org/officeDocument/2006/relationships/printerSettings" Target="../printerSettings/printerSettings246.bin"/><Relationship Id="rId5" Type="http://schemas.openxmlformats.org/officeDocument/2006/relationships/printerSettings" Target="../printerSettings/printerSettings245.bin"/><Relationship Id="rId10" Type="http://schemas.openxmlformats.org/officeDocument/2006/relationships/printerSettings" Target="../printerSettings/printerSettings250.bin"/><Relationship Id="rId4" Type="http://schemas.openxmlformats.org/officeDocument/2006/relationships/printerSettings" Target="../printerSettings/printerSettings244.bin"/><Relationship Id="rId9" Type="http://schemas.openxmlformats.org/officeDocument/2006/relationships/printerSettings" Target="../printerSettings/printerSettings249.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8.bin"/><Relationship Id="rId3" Type="http://schemas.openxmlformats.org/officeDocument/2006/relationships/printerSettings" Target="../printerSettings/printerSettings13.bin"/><Relationship Id="rId7" Type="http://schemas.openxmlformats.org/officeDocument/2006/relationships/printerSettings" Target="../printerSettings/printerSettings17.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6.bin"/><Relationship Id="rId11" Type="http://schemas.openxmlformats.org/officeDocument/2006/relationships/drawing" Target="../drawings/drawing2.xml"/><Relationship Id="rId5" Type="http://schemas.openxmlformats.org/officeDocument/2006/relationships/printerSettings" Target="../printerSettings/printerSettings15.bin"/><Relationship Id="rId10" Type="http://schemas.openxmlformats.org/officeDocument/2006/relationships/printerSettings" Target="../printerSettings/printerSettings20.bin"/><Relationship Id="rId4" Type="http://schemas.openxmlformats.org/officeDocument/2006/relationships/printerSettings" Target="../printerSettings/printerSettings14.bin"/><Relationship Id="rId9" Type="http://schemas.openxmlformats.org/officeDocument/2006/relationships/printerSettings" Target="../printerSettings/printerSettings19.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6.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7.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8.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9.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20.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21.xml"/></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comments" Target="../comments14.xml"/><Relationship Id="rId3" Type="http://schemas.openxmlformats.org/officeDocument/2006/relationships/printerSettings" Target="../printerSettings/printerSettings253.bin"/><Relationship Id="rId7" Type="http://schemas.openxmlformats.org/officeDocument/2006/relationships/printerSettings" Target="../printerSettings/printerSettings257.bin"/><Relationship Id="rId12" Type="http://schemas.openxmlformats.org/officeDocument/2006/relationships/vmlDrawing" Target="../drawings/vmlDrawing14.vml"/><Relationship Id="rId2" Type="http://schemas.openxmlformats.org/officeDocument/2006/relationships/printerSettings" Target="../printerSettings/printerSettings252.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drawing" Target="../drawings/drawing22.xml"/><Relationship Id="rId5" Type="http://schemas.openxmlformats.org/officeDocument/2006/relationships/printerSettings" Target="../printerSettings/printerSettings255.bin"/><Relationship Id="rId10" Type="http://schemas.openxmlformats.org/officeDocument/2006/relationships/printerSettings" Target="../printerSettings/printerSettings260.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268.bin"/><Relationship Id="rId13" Type="http://schemas.openxmlformats.org/officeDocument/2006/relationships/comments" Target="../comments15.xml"/><Relationship Id="rId3" Type="http://schemas.openxmlformats.org/officeDocument/2006/relationships/printerSettings" Target="../printerSettings/printerSettings263.bin"/><Relationship Id="rId7" Type="http://schemas.openxmlformats.org/officeDocument/2006/relationships/printerSettings" Target="../printerSettings/printerSettings267.bin"/><Relationship Id="rId12" Type="http://schemas.openxmlformats.org/officeDocument/2006/relationships/vmlDrawing" Target="../drawings/vmlDrawing15.vml"/><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 Id="rId6" Type="http://schemas.openxmlformats.org/officeDocument/2006/relationships/printerSettings" Target="../printerSettings/printerSettings266.bin"/><Relationship Id="rId11" Type="http://schemas.openxmlformats.org/officeDocument/2006/relationships/drawing" Target="../drawings/drawing23.xml"/><Relationship Id="rId5" Type="http://schemas.openxmlformats.org/officeDocument/2006/relationships/printerSettings" Target="../printerSettings/printerSettings265.bin"/><Relationship Id="rId10" Type="http://schemas.openxmlformats.org/officeDocument/2006/relationships/printerSettings" Target="../printerSettings/printerSettings270.bin"/><Relationship Id="rId4" Type="http://schemas.openxmlformats.org/officeDocument/2006/relationships/printerSettings" Target="../printerSettings/printerSettings264.bin"/><Relationship Id="rId9" Type="http://schemas.openxmlformats.org/officeDocument/2006/relationships/printerSettings" Target="../printerSettings/printerSettings269.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278.bin"/><Relationship Id="rId13" Type="http://schemas.openxmlformats.org/officeDocument/2006/relationships/comments" Target="../comments16.xml"/><Relationship Id="rId3" Type="http://schemas.openxmlformats.org/officeDocument/2006/relationships/printerSettings" Target="../printerSettings/printerSettings273.bin"/><Relationship Id="rId7" Type="http://schemas.openxmlformats.org/officeDocument/2006/relationships/printerSettings" Target="../printerSettings/printerSettings277.bin"/><Relationship Id="rId12" Type="http://schemas.openxmlformats.org/officeDocument/2006/relationships/vmlDrawing" Target="../drawings/vmlDrawing16.vml"/><Relationship Id="rId2" Type="http://schemas.openxmlformats.org/officeDocument/2006/relationships/printerSettings" Target="../printerSettings/printerSettings272.bin"/><Relationship Id="rId1" Type="http://schemas.openxmlformats.org/officeDocument/2006/relationships/printerSettings" Target="../printerSettings/printerSettings271.bin"/><Relationship Id="rId6" Type="http://schemas.openxmlformats.org/officeDocument/2006/relationships/printerSettings" Target="../printerSettings/printerSettings276.bin"/><Relationship Id="rId11" Type="http://schemas.openxmlformats.org/officeDocument/2006/relationships/drawing" Target="../drawings/drawing24.xml"/><Relationship Id="rId5" Type="http://schemas.openxmlformats.org/officeDocument/2006/relationships/printerSettings" Target="../printerSettings/printerSettings275.bin"/><Relationship Id="rId10" Type="http://schemas.openxmlformats.org/officeDocument/2006/relationships/printerSettings" Target="../printerSettings/printerSettings280.bin"/><Relationship Id="rId4" Type="http://schemas.openxmlformats.org/officeDocument/2006/relationships/printerSettings" Target="../printerSettings/printerSettings274.bin"/><Relationship Id="rId9" Type="http://schemas.openxmlformats.org/officeDocument/2006/relationships/printerSettings" Target="../printerSettings/printerSettings279.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288.bin"/><Relationship Id="rId13" Type="http://schemas.openxmlformats.org/officeDocument/2006/relationships/comments" Target="../comments17.xml"/><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12" Type="http://schemas.openxmlformats.org/officeDocument/2006/relationships/vmlDrawing" Target="../drawings/vmlDrawing17.vml"/><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drawing" Target="../drawings/drawing25.xml"/><Relationship Id="rId5" Type="http://schemas.openxmlformats.org/officeDocument/2006/relationships/printerSettings" Target="../printerSettings/printerSettings285.bin"/><Relationship Id="rId10" Type="http://schemas.openxmlformats.org/officeDocument/2006/relationships/printerSettings" Target="../printerSettings/printerSettings290.bin"/><Relationship Id="rId4" Type="http://schemas.openxmlformats.org/officeDocument/2006/relationships/printerSettings" Target="../printerSettings/printerSettings284.bin"/><Relationship Id="rId9" Type="http://schemas.openxmlformats.org/officeDocument/2006/relationships/printerSettings" Target="../printerSettings/printerSettings289.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298.bin"/><Relationship Id="rId13" Type="http://schemas.openxmlformats.org/officeDocument/2006/relationships/comments" Target="../comments18.xml"/><Relationship Id="rId3" Type="http://schemas.openxmlformats.org/officeDocument/2006/relationships/printerSettings" Target="../printerSettings/printerSettings293.bin"/><Relationship Id="rId7" Type="http://schemas.openxmlformats.org/officeDocument/2006/relationships/printerSettings" Target="../printerSettings/printerSettings297.bin"/><Relationship Id="rId12" Type="http://schemas.openxmlformats.org/officeDocument/2006/relationships/vmlDrawing" Target="../drawings/vmlDrawing18.vml"/><Relationship Id="rId2" Type="http://schemas.openxmlformats.org/officeDocument/2006/relationships/printerSettings" Target="../printerSettings/printerSettings292.bin"/><Relationship Id="rId1" Type="http://schemas.openxmlformats.org/officeDocument/2006/relationships/printerSettings" Target="../printerSettings/printerSettings291.bin"/><Relationship Id="rId6" Type="http://schemas.openxmlformats.org/officeDocument/2006/relationships/printerSettings" Target="../printerSettings/printerSettings296.bin"/><Relationship Id="rId11" Type="http://schemas.openxmlformats.org/officeDocument/2006/relationships/drawing" Target="../drawings/drawing26.xml"/><Relationship Id="rId5" Type="http://schemas.openxmlformats.org/officeDocument/2006/relationships/printerSettings" Target="../printerSettings/printerSettings295.bin"/><Relationship Id="rId10" Type="http://schemas.openxmlformats.org/officeDocument/2006/relationships/printerSettings" Target="../printerSettings/printerSettings300.bin"/><Relationship Id="rId4" Type="http://schemas.openxmlformats.org/officeDocument/2006/relationships/printerSettings" Target="../printerSettings/printerSettings294.bin"/><Relationship Id="rId9" Type="http://schemas.openxmlformats.org/officeDocument/2006/relationships/printerSettings" Target="../printerSettings/printerSettings299.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308.bin"/><Relationship Id="rId13" Type="http://schemas.openxmlformats.org/officeDocument/2006/relationships/comments" Target="../comments19.xml"/><Relationship Id="rId3" Type="http://schemas.openxmlformats.org/officeDocument/2006/relationships/printerSettings" Target="../printerSettings/printerSettings303.bin"/><Relationship Id="rId7" Type="http://schemas.openxmlformats.org/officeDocument/2006/relationships/printerSettings" Target="../printerSettings/printerSettings307.bin"/><Relationship Id="rId12" Type="http://schemas.openxmlformats.org/officeDocument/2006/relationships/vmlDrawing" Target="../drawings/vmlDrawing19.vml"/><Relationship Id="rId2" Type="http://schemas.openxmlformats.org/officeDocument/2006/relationships/printerSettings" Target="../printerSettings/printerSettings302.bin"/><Relationship Id="rId1" Type="http://schemas.openxmlformats.org/officeDocument/2006/relationships/printerSettings" Target="../printerSettings/printerSettings301.bin"/><Relationship Id="rId6" Type="http://schemas.openxmlformats.org/officeDocument/2006/relationships/printerSettings" Target="../printerSettings/printerSettings306.bin"/><Relationship Id="rId11" Type="http://schemas.openxmlformats.org/officeDocument/2006/relationships/drawing" Target="../drawings/drawing27.xml"/><Relationship Id="rId5" Type="http://schemas.openxmlformats.org/officeDocument/2006/relationships/printerSettings" Target="../printerSettings/printerSettings305.bin"/><Relationship Id="rId10" Type="http://schemas.openxmlformats.org/officeDocument/2006/relationships/printerSettings" Target="../printerSettings/printerSettings310.bin"/><Relationship Id="rId4" Type="http://schemas.openxmlformats.org/officeDocument/2006/relationships/printerSettings" Target="../printerSettings/printerSettings304.bin"/><Relationship Id="rId9" Type="http://schemas.openxmlformats.org/officeDocument/2006/relationships/printerSettings" Target="../printerSettings/printerSettings309.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318.bin"/><Relationship Id="rId13" Type="http://schemas.openxmlformats.org/officeDocument/2006/relationships/comments" Target="../comments20.xml"/><Relationship Id="rId3" Type="http://schemas.openxmlformats.org/officeDocument/2006/relationships/printerSettings" Target="../printerSettings/printerSettings313.bin"/><Relationship Id="rId7" Type="http://schemas.openxmlformats.org/officeDocument/2006/relationships/printerSettings" Target="../printerSettings/printerSettings317.bin"/><Relationship Id="rId12" Type="http://schemas.openxmlformats.org/officeDocument/2006/relationships/vmlDrawing" Target="../drawings/vmlDrawing20.vml"/><Relationship Id="rId2" Type="http://schemas.openxmlformats.org/officeDocument/2006/relationships/printerSettings" Target="../printerSettings/printerSettings312.bin"/><Relationship Id="rId1" Type="http://schemas.openxmlformats.org/officeDocument/2006/relationships/printerSettings" Target="../printerSettings/printerSettings311.bin"/><Relationship Id="rId6" Type="http://schemas.openxmlformats.org/officeDocument/2006/relationships/printerSettings" Target="../printerSettings/printerSettings316.bin"/><Relationship Id="rId11" Type="http://schemas.openxmlformats.org/officeDocument/2006/relationships/drawing" Target="../drawings/drawing28.xml"/><Relationship Id="rId5" Type="http://schemas.openxmlformats.org/officeDocument/2006/relationships/printerSettings" Target="../printerSettings/printerSettings315.bin"/><Relationship Id="rId10" Type="http://schemas.openxmlformats.org/officeDocument/2006/relationships/printerSettings" Target="../printerSettings/printerSettings320.bin"/><Relationship Id="rId4" Type="http://schemas.openxmlformats.org/officeDocument/2006/relationships/printerSettings" Target="../printerSettings/printerSettings314.bin"/><Relationship Id="rId9" Type="http://schemas.openxmlformats.org/officeDocument/2006/relationships/printerSettings" Target="../printerSettings/printerSettings319.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328.bin"/><Relationship Id="rId13" Type="http://schemas.openxmlformats.org/officeDocument/2006/relationships/comments" Target="../comments21.xml"/><Relationship Id="rId3" Type="http://schemas.openxmlformats.org/officeDocument/2006/relationships/printerSettings" Target="../printerSettings/printerSettings323.bin"/><Relationship Id="rId7" Type="http://schemas.openxmlformats.org/officeDocument/2006/relationships/printerSettings" Target="../printerSettings/printerSettings327.bin"/><Relationship Id="rId12" Type="http://schemas.openxmlformats.org/officeDocument/2006/relationships/vmlDrawing" Target="../drawings/vmlDrawing21.vml"/><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 Id="rId6" Type="http://schemas.openxmlformats.org/officeDocument/2006/relationships/printerSettings" Target="../printerSettings/printerSettings326.bin"/><Relationship Id="rId11" Type="http://schemas.openxmlformats.org/officeDocument/2006/relationships/drawing" Target="../drawings/drawing29.xml"/><Relationship Id="rId5" Type="http://schemas.openxmlformats.org/officeDocument/2006/relationships/printerSettings" Target="../printerSettings/printerSettings325.bin"/><Relationship Id="rId10" Type="http://schemas.openxmlformats.org/officeDocument/2006/relationships/printerSettings" Target="../printerSettings/printerSettings330.bin"/><Relationship Id="rId4" Type="http://schemas.openxmlformats.org/officeDocument/2006/relationships/printerSettings" Target="../printerSettings/printerSettings324.bin"/><Relationship Id="rId9" Type="http://schemas.openxmlformats.org/officeDocument/2006/relationships/printerSettings" Target="../printerSettings/printerSettings329.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338.bin"/><Relationship Id="rId13" Type="http://schemas.openxmlformats.org/officeDocument/2006/relationships/comments" Target="../comments22.xml"/><Relationship Id="rId3" Type="http://schemas.openxmlformats.org/officeDocument/2006/relationships/printerSettings" Target="../printerSettings/printerSettings333.bin"/><Relationship Id="rId7" Type="http://schemas.openxmlformats.org/officeDocument/2006/relationships/printerSettings" Target="../printerSettings/printerSettings337.bin"/><Relationship Id="rId12" Type="http://schemas.openxmlformats.org/officeDocument/2006/relationships/vmlDrawing" Target="../drawings/vmlDrawing22.vml"/><Relationship Id="rId2" Type="http://schemas.openxmlformats.org/officeDocument/2006/relationships/printerSettings" Target="../printerSettings/printerSettings332.bin"/><Relationship Id="rId1" Type="http://schemas.openxmlformats.org/officeDocument/2006/relationships/printerSettings" Target="../printerSettings/printerSettings331.bin"/><Relationship Id="rId6" Type="http://schemas.openxmlformats.org/officeDocument/2006/relationships/printerSettings" Target="../printerSettings/printerSettings336.bin"/><Relationship Id="rId11" Type="http://schemas.openxmlformats.org/officeDocument/2006/relationships/drawing" Target="../drawings/drawing30.xml"/><Relationship Id="rId5" Type="http://schemas.openxmlformats.org/officeDocument/2006/relationships/printerSettings" Target="../printerSettings/printerSettings335.bin"/><Relationship Id="rId10" Type="http://schemas.openxmlformats.org/officeDocument/2006/relationships/printerSettings" Target="../printerSettings/printerSettings340.bin"/><Relationship Id="rId4" Type="http://schemas.openxmlformats.org/officeDocument/2006/relationships/printerSettings" Target="../printerSettings/printerSettings334.bin"/><Relationship Id="rId9" Type="http://schemas.openxmlformats.org/officeDocument/2006/relationships/printerSettings" Target="../printerSettings/printerSettings339.bin"/></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348.bin"/><Relationship Id="rId13" Type="http://schemas.openxmlformats.org/officeDocument/2006/relationships/comments" Target="../comments23.xml"/><Relationship Id="rId3" Type="http://schemas.openxmlformats.org/officeDocument/2006/relationships/printerSettings" Target="../printerSettings/printerSettings343.bin"/><Relationship Id="rId7" Type="http://schemas.openxmlformats.org/officeDocument/2006/relationships/printerSettings" Target="../printerSettings/printerSettings347.bin"/><Relationship Id="rId12" Type="http://schemas.openxmlformats.org/officeDocument/2006/relationships/vmlDrawing" Target="../drawings/vmlDrawing23.vml"/><Relationship Id="rId2" Type="http://schemas.openxmlformats.org/officeDocument/2006/relationships/printerSettings" Target="../printerSettings/printerSettings342.bin"/><Relationship Id="rId1" Type="http://schemas.openxmlformats.org/officeDocument/2006/relationships/printerSettings" Target="../printerSettings/printerSettings341.bin"/><Relationship Id="rId6" Type="http://schemas.openxmlformats.org/officeDocument/2006/relationships/printerSettings" Target="../printerSettings/printerSettings346.bin"/><Relationship Id="rId11" Type="http://schemas.openxmlformats.org/officeDocument/2006/relationships/drawing" Target="../drawings/drawing31.xml"/><Relationship Id="rId5" Type="http://schemas.openxmlformats.org/officeDocument/2006/relationships/printerSettings" Target="../printerSettings/printerSettings345.bin"/><Relationship Id="rId10" Type="http://schemas.openxmlformats.org/officeDocument/2006/relationships/printerSettings" Target="../printerSettings/printerSettings350.bin"/><Relationship Id="rId4" Type="http://schemas.openxmlformats.org/officeDocument/2006/relationships/printerSettings" Target="../printerSettings/printerSettings344.bin"/><Relationship Id="rId9" Type="http://schemas.openxmlformats.org/officeDocument/2006/relationships/printerSettings" Target="../printerSettings/printerSettings349.bin"/></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358.bin"/><Relationship Id="rId13" Type="http://schemas.openxmlformats.org/officeDocument/2006/relationships/comments" Target="../comments24.xml"/><Relationship Id="rId3" Type="http://schemas.openxmlformats.org/officeDocument/2006/relationships/printerSettings" Target="../printerSettings/printerSettings353.bin"/><Relationship Id="rId7" Type="http://schemas.openxmlformats.org/officeDocument/2006/relationships/printerSettings" Target="../printerSettings/printerSettings357.bin"/><Relationship Id="rId12" Type="http://schemas.openxmlformats.org/officeDocument/2006/relationships/vmlDrawing" Target="../drawings/vmlDrawing24.vml"/><Relationship Id="rId2" Type="http://schemas.openxmlformats.org/officeDocument/2006/relationships/printerSettings" Target="../printerSettings/printerSettings352.bin"/><Relationship Id="rId1" Type="http://schemas.openxmlformats.org/officeDocument/2006/relationships/printerSettings" Target="../printerSettings/printerSettings351.bin"/><Relationship Id="rId6" Type="http://schemas.openxmlformats.org/officeDocument/2006/relationships/printerSettings" Target="../printerSettings/printerSettings356.bin"/><Relationship Id="rId11" Type="http://schemas.openxmlformats.org/officeDocument/2006/relationships/drawing" Target="../drawings/drawing32.xml"/><Relationship Id="rId5" Type="http://schemas.openxmlformats.org/officeDocument/2006/relationships/printerSettings" Target="../printerSettings/printerSettings355.bin"/><Relationship Id="rId10" Type="http://schemas.openxmlformats.org/officeDocument/2006/relationships/printerSettings" Target="../printerSettings/printerSettings360.bin"/><Relationship Id="rId4" Type="http://schemas.openxmlformats.org/officeDocument/2006/relationships/printerSettings" Target="../printerSettings/printerSettings354.bin"/><Relationship Id="rId9" Type="http://schemas.openxmlformats.org/officeDocument/2006/relationships/printerSettings" Target="../printerSettings/printerSettings359.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368.bin"/><Relationship Id="rId13" Type="http://schemas.openxmlformats.org/officeDocument/2006/relationships/comments" Target="../comments25.xml"/><Relationship Id="rId3" Type="http://schemas.openxmlformats.org/officeDocument/2006/relationships/printerSettings" Target="../printerSettings/printerSettings363.bin"/><Relationship Id="rId7" Type="http://schemas.openxmlformats.org/officeDocument/2006/relationships/printerSettings" Target="../printerSettings/printerSettings367.bin"/><Relationship Id="rId12" Type="http://schemas.openxmlformats.org/officeDocument/2006/relationships/vmlDrawing" Target="../drawings/vmlDrawing25.vml"/><Relationship Id="rId2" Type="http://schemas.openxmlformats.org/officeDocument/2006/relationships/printerSettings" Target="../printerSettings/printerSettings362.bin"/><Relationship Id="rId1" Type="http://schemas.openxmlformats.org/officeDocument/2006/relationships/printerSettings" Target="../printerSettings/printerSettings361.bin"/><Relationship Id="rId6" Type="http://schemas.openxmlformats.org/officeDocument/2006/relationships/printerSettings" Target="../printerSettings/printerSettings366.bin"/><Relationship Id="rId11" Type="http://schemas.openxmlformats.org/officeDocument/2006/relationships/drawing" Target="../drawings/drawing33.xml"/><Relationship Id="rId5" Type="http://schemas.openxmlformats.org/officeDocument/2006/relationships/printerSettings" Target="../printerSettings/printerSettings365.bin"/><Relationship Id="rId10" Type="http://schemas.openxmlformats.org/officeDocument/2006/relationships/printerSettings" Target="../printerSettings/printerSettings370.bin"/><Relationship Id="rId4" Type="http://schemas.openxmlformats.org/officeDocument/2006/relationships/printerSettings" Target="../printerSettings/printerSettings364.bin"/><Relationship Id="rId9" Type="http://schemas.openxmlformats.org/officeDocument/2006/relationships/printerSettings" Target="../printerSettings/printerSettings369.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378.bin"/><Relationship Id="rId13" Type="http://schemas.openxmlformats.org/officeDocument/2006/relationships/comments" Target="../comments26.xml"/><Relationship Id="rId3" Type="http://schemas.openxmlformats.org/officeDocument/2006/relationships/printerSettings" Target="../printerSettings/printerSettings373.bin"/><Relationship Id="rId7" Type="http://schemas.openxmlformats.org/officeDocument/2006/relationships/printerSettings" Target="../printerSettings/printerSettings377.bin"/><Relationship Id="rId12" Type="http://schemas.openxmlformats.org/officeDocument/2006/relationships/vmlDrawing" Target="../drawings/vmlDrawing26.vml"/><Relationship Id="rId2" Type="http://schemas.openxmlformats.org/officeDocument/2006/relationships/printerSettings" Target="../printerSettings/printerSettings372.bin"/><Relationship Id="rId1" Type="http://schemas.openxmlformats.org/officeDocument/2006/relationships/printerSettings" Target="../printerSettings/printerSettings371.bin"/><Relationship Id="rId6" Type="http://schemas.openxmlformats.org/officeDocument/2006/relationships/printerSettings" Target="../printerSettings/printerSettings376.bin"/><Relationship Id="rId11" Type="http://schemas.openxmlformats.org/officeDocument/2006/relationships/drawing" Target="../drawings/drawing34.xml"/><Relationship Id="rId5" Type="http://schemas.openxmlformats.org/officeDocument/2006/relationships/printerSettings" Target="../printerSettings/printerSettings375.bin"/><Relationship Id="rId10" Type="http://schemas.openxmlformats.org/officeDocument/2006/relationships/printerSettings" Target="../printerSettings/printerSettings380.bin"/><Relationship Id="rId4" Type="http://schemas.openxmlformats.org/officeDocument/2006/relationships/printerSettings" Target="../printerSettings/printerSettings374.bin"/><Relationship Id="rId9" Type="http://schemas.openxmlformats.org/officeDocument/2006/relationships/printerSettings" Target="../printerSettings/printerSettings37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3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gov.uk/government/publications/biofuels-carbon-calculator-rtfo" TargetMode="External"/></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388.bin"/><Relationship Id="rId3" Type="http://schemas.openxmlformats.org/officeDocument/2006/relationships/printerSettings" Target="../printerSettings/printerSettings383.bin"/><Relationship Id="rId7" Type="http://schemas.openxmlformats.org/officeDocument/2006/relationships/printerSettings" Target="../printerSettings/printerSettings387.bin"/><Relationship Id="rId2" Type="http://schemas.openxmlformats.org/officeDocument/2006/relationships/printerSettings" Target="../printerSettings/printerSettings382.bin"/><Relationship Id="rId1" Type="http://schemas.openxmlformats.org/officeDocument/2006/relationships/printerSettings" Target="../printerSettings/printerSettings381.bin"/><Relationship Id="rId6" Type="http://schemas.openxmlformats.org/officeDocument/2006/relationships/printerSettings" Target="../printerSettings/printerSettings386.bin"/><Relationship Id="rId5" Type="http://schemas.openxmlformats.org/officeDocument/2006/relationships/printerSettings" Target="../printerSettings/printerSettings385.bin"/><Relationship Id="rId10" Type="http://schemas.openxmlformats.org/officeDocument/2006/relationships/printerSettings" Target="../printerSettings/printerSettings390.bin"/><Relationship Id="rId4" Type="http://schemas.openxmlformats.org/officeDocument/2006/relationships/printerSettings" Target="../printerSettings/printerSettings384.bin"/><Relationship Id="rId9" Type="http://schemas.openxmlformats.org/officeDocument/2006/relationships/printerSettings" Target="../printerSettings/printerSettings389.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398.bin"/><Relationship Id="rId13" Type="http://schemas.openxmlformats.org/officeDocument/2006/relationships/comments" Target="../comments28.xml"/><Relationship Id="rId3" Type="http://schemas.openxmlformats.org/officeDocument/2006/relationships/printerSettings" Target="../printerSettings/printerSettings393.bin"/><Relationship Id="rId7" Type="http://schemas.openxmlformats.org/officeDocument/2006/relationships/printerSettings" Target="../printerSettings/printerSettings397.bin"/><Relationship Id="rId12" Type="http://schemas.openxmlformats.org/officeDocument/2006/relationships/vmlDrawing" Target="../drawings/vmlDrawing28.vml"/><Relationship Id="rId2" Type="http://schemas.openxmlformats.org/officeDocument/2006/relationships/printerSettings" Target="../printerSettings/printerSettings392.bin"/><Relationship Id="rId1" Type="http://schemas.openxmlformats.org/officeDocument/2006/relationships/printerSettings" Target="../printerSettings/printerSettings391.bin"/><Relationship Id="rId6" Type="http://schemas.openxmlformats.org/officeDocument/2006/relationships/printerSettings" Target="../printerSettings/printerSettings396.bin"/><Relationship Id="rId11" Type="http://schemas.openxmlformats.org/officeDocument/2006/relationships/drawing" Target="../drawings/drawing36.xml"/><Relationship Id="rId5" Type="http://schemas.openxmlformats.org/officeDocument/2006/relationships/printerSettings" Target="../printerSettings/printerSettings395.bin"/><Relationship Id="rId10" Type="http://schemas.openxmlformats.org/officeDocument/2006/relationships/printerSettings" Target="../printerSettings/printerSettings400.bin"/><Relationship Id="rId4" Type="http://schemas.openxmlformats.org/officeDocument/2006/relationships/printerSettings" Target="../printerSettings/printerSettings394.bin"/><Relationship Id="rId9" Type="http://schemas.openxmlformats.org/officeDocument/2006/relationships/printerSettings" Target="../printerSettings/printerSettings399.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408.bin"/><Relationship Id="rId13" Type="http://schemas.openxmlformats.org/officeDocument/2006/relationships/comments" Target="../comments29.xml"/><Relationship Id="rId3" Type="http://schemas.openxmlformats.org/officeDocument/2006/relationships/printerSettings" Target="../printerSettings/printerSettings403.bin"/><Relationship Id="rId7" Type="http://schemas.openxmlformats.org/officeDocument/2006/relationships/printerSettings" Target="../printerSettings/printerSettings407.bin"/><Relationship Id="rId12" Type="http://schemas.openxmlformats.org/officeDocument/2006/relationships/vmlDrawing" Target="../drawings/vmlDrawing29.vml"/><Relationship Id="rId2" Type="http://schemas.openxmlformats.org/officeDocument/2006/relationships/printerSettings" Target="../printerSettings/printerSettings402.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11" Type="http://schemas.openxmlformats.org/officeDocument/2006/relationships/drawing" Target="../drawings/drawing37.xml"/><Relationship Id="rId5" Type="http://schemas.openxmlformats.org/officeDocument/2006/relationships/printerSettings" Target="../printerSettings/printerSettings405.bin"/><Relationship Id="rId10" Type="http://schemas.openxmlformats.org/officeDocument/2006/relationships/printerSettings" Target="../printerSettings/printerSettings410.bin"/><Relationship Id="rId4" Type="http://schemas.openxmlformats.org/officeDocument/2006/relationships/printerSettings" Target="../printerSettings/printerSettings404.bin"/><Relationship Id="rId9" Type="http://schemas.openxmlformats.org/officeDocument/2006/relationships/printerSettings" Target="../printerSettings/printerSettings409.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418.bin"/><Relationship Id="rId13" Type="http://schemas.openxmlformats.org/officeDocument/2006/relationships/comments" Target="../comments30.xml"/><Relationship Id="rId3" Type="http://schemas.openxmlformats.org/officeDocument/2006/relationships/printerSettings" Target="../printerSettings/printerSettings413.bin"/><Relationship Id="rId7" Type="http://schemas.openxmlformats.org/officeDocument/2006/relationships/printerSettings" Target="../printerSettings/printerSettings417.bin"/><Relationship Id="rId12" Type="http://schemas.openxmlformats.org/officeDocument/2006/relationships/vmlDrawing" Target="../drawings/vmlDrawing30.vml"/><Relationship Id="rId2" Type="http://schemas.openxmlformats.org/officeDocument/2006/relationships/printerSettings" Target="../printerSettings/printerSettings412.bin"/><Relationship Id="rId1" Type="http://schemas.openxmlformats.org/officeDocument/2006/relationships/printerSettings" Target="../printerSettings/printerSettings411.bin"/><Relationship Id="rId6" Type="http://schemas.openxmlformats.org/officeDocument/2006/relationships/printerSettings" Target="../printerSettings/printerSettings416.bin"/><Relationship Id="rId11" Type="http://schemas.openxmlformats.org/officeDocument/2006/relationships/drawing" Target="../drawings/drawing38.xml"/><Relationship Id="rId5" Type="http://schemas.openxmlformats.org/officeDocument/2006/relationships/printerSettings" Target="../printerSettings/printerSettings415.bin"/><Relationship Id="rId10" Type="http://schemas.openxmlformats.org/officeDocument/2006/relationships/printerSettings" Target="../printerSettings/printerSettings420.bin"/><Relationship Id="rId4" Type="http://schemas.openxmlformats.org/officeDocument/2006/relationships/printerSettings" Target="../printerSettings/printerSettings414.bin"/><Relationship Id="rId9" Type="http://schemas.openxmlformats.org/officeDocument/2006/relationships/printerSettings" Target="../printerSettings/printerSettings419.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428.bin"/><Relationship Id="rId13" Type="http://schemas.openxmlformats.org/officeDocument/2006/relationships/comments" Target="../comments31.xml"/><Relationship Id="rId3" Type="http://schemas.openxmlformats.org/officeDocument/2006/relationships/printerSettings" Target="../printerSettings/printerSettings423.bin"/><Relationship Id="rId7" Type="http://schemas.openxmlformats.org/officeDocument/2006/relationships/printerSettings" Target="../printerSettings/printerSettings427.bin"/><Relationship Id="rId12" Type="http://schemas.openxmlformats.org/officeDocument/2006/relationships/vmlDrawing" Target="../drawings/vmlDrawing31.vml"/><Relationship Id="rId2" Type="http://schemas.openxmlformats.org/officeDocument/2006/relationships/printerSettings" Target="../printerSettings/printerSettings422.bin"/><Relationship Id="rId1" Type="http://schemas.openxmlformats.org/officeDocument/2006/relationships/printerSettings" Target="../printerSettings/printerSettings421.bin"/><Relationship Id="rId6" Type="http://schemas.openxmlformats.org/officeDocument/2006/relationships/printerSettings" Target="../printerSettings/printerSettings426.bin"/><Relationship Id="rId11" Type="http://schemas.openxmlformats.org/officeDocument/2006/relationships/drawing" Target="../drawings/drawing39.xml"/><Relationship Id="rId5" Type="http://schemas.openxmlformats.org/officeDocument/2006/relationships/printerSettings" Target="../printerSettings/printerSettings425.bin"/><Relationship Id="rId10" Type="http://schemas.openxmlformats.org/officeDocument/2006/relationships/printerSettings" Target="../printerSettings/printerSettings430.bin"/><Relationship Id="rId4" Type="http://schemas.openxmlformats.org/officeDocument/2006/relationships/printerSettings" Target="../printerSettings/printerSettings424.bin"/><Relationship Id="rId9" Type="http://schemas.openxmlformats.org/officeDocument/2006/relationships/printerSettings" Target="../printerSettings/printerSettings429.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drawing" Target="../drawings/drawing40.xml"/></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438.bin"/><Relationship Id="rId13" Type="http://schemas.openxmlformats.org/officeDocument/2006/relationships/comments" Target="../comments33.xml"/><Relationship Id="rId3" Type="http://schemas.openxmlformats.org/officeDocument/2006/relationships/printerSettings" Target="../printerSettings/printerSettings433.bin"/><Relationship Id="rId7" Type="http://schemas.openxmlformats.org/officeDocument/2006/relationships/printerSettings" Target="../printerSettings/printerSettings437.bin"/><Relationship Id="rId12" Type="http://schemas.openxmlformats.org/officeDocument/2006/relationships/vmlDrawing" Target="../drawings/vmlDrawing33.vml"/><Relationship Id="rId2" Type="http://schemas.openxmlformats.org/officeDocument/2006/relationships/printerSettings" Target="../printerSettings/printerSettings432.bin"/><Relationship Id="rId1" Type="http://schemas.openxmlformats.org/officeDocument/2006/relationships/printerSettings" Target="../printerSettings/printerSettings431.bin"/><Relationship Id="rId6" Type="http://schemas.openxmlformats.org/officeDocument/2006/relationships/printerSettings" Target="../printerSettings/printerSettings436.bin"/><Relationship Id="rId11" Type="http://schemas.openxmlformats.org/officeDocument/2006/relationships/drawing" Target="../drawings/drawing41.xml"/><Relationship Id="rId5" Type="http://schemas.openxmlformats.org/officeDocument/2006/relationships/printerSettings" Target="../printerSettings/printerSettings435.bin"/><Relationship Id="rId10" Type="http://schemas.openxmlformats.org/officeDocument/2006/relationships/printerSettings" Target="../printerSettings/printerSettings440.bin"/><Relationship Id="rId4" Type="http://schemas.openxmlformats.org/officeDocument/2006/relationships/printerSettings" Target="../printerSettings/printerSettings434.bin"/><Relationship Id="rId9" Type="http://schemas.openxmlformats.org/officeDocument/2006/relationships/printerSettings" Target="../printerSettings/printerSettings439.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448.bin"/><Relationship Id="rId13" Type="http://schemas.openxmlformats.org/officeDocument/2006/relationships/comments" Target="../comments34.xml"/><Relationship Id="rId3" Type="http://schemas.openxmlformats.org/officeDocument/2006/relationships/printerSettings" Target="../printerSettings/printerSettings443.bin"/><Relationship Id="rId7" Type="http://schemas.openxmlformats.org/officeDocument/2006/relationships/printerSettings" Target="../printerSettings/printerSettings447.bin"/><Relationship Id="rId12" Type="http://schemas.openxmlformats.org/officeDocument/2006/relationships/vmlDrawing" Target="../drawings/vmlDrawing34.vml"/><Relationship Id="rId2" Type="http://schemas.openxmlformats.org/officeDocument/2006/relationships/printerSettings" Target="../printerSettings/printerSettings442.bin"/><Relationship Id="rId1" Type="http://schemas.openxmlformats.org/officeDocument/2006/relationships/printerSettings" Target="../printerSettings/printerSettings441.bin"/><Relationship Id="rId6" Type="http://schemas.openxmlformats.org/officeDocument/2006/relationships/printerSettings" Target="../printerSettings/printerSettings446.bin"/><Relationship Id="rId11" Type="http://schemas.openxmlformats.org/officeDocument/2006/relationships/drawing" Target="../drawings/drawing42.xml"/><Relationship Id="rId5" Type="http://schemas.openxmlformats.org/officeDocument/2006/relationships/printerSettings" Target="../printerSettings/printerSettings445.bin"/><Relationship Id="rId10" Type="http://schemas.openxmlformats.org/officeDocument/2006/relationships/printerSettings" Target="../printerSettings/printerSettings450.bin"/><Relationship Id="rId4" Type="http://schemas.openxmlformats.org/officeDocument/2006/relationships/printerSettings" Target="../printerSettings/printerSettings444.bin"/><Relationship Id="rId9" Type="http://schemas.openxmlformats.org/officeDocument/2006/relationships/printerSettings" Target="../printerSettings/printerSettings449.bin"/></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458.bin"/><Relationship Id="rId13" Type="http://schemas.openxmlformats.org/officeDocument/2006/relationships/comments" Target="../comments35.xml"/><Relationship Id="rId3" Type="http://schemas.openxmlformats.org/officeDocument/2006/relationships/printerSettings" Target="../printerSettings/printerSettings453.bin"/><Relationship Id="rId7" Type="http://schemas.openxmlformats.org/officeDocument/2006/relationships/printerSettings" Target="../printerSettings/printerSettings457.bin"/><Relationship Id="rId12" Type="http://schemas.openxmlformats.org/officeDocument/2006/relationships/vmlDrawing" Target="../drawings/vmlDrawing35.vml"/><Relationship Id="rId2" Type="http://schemas.openxmlformats.org/officeDocument/2006/relationships/printerSettings" Target="../printerSettings/printerSettings452.bin"/><Relationship Id="rId1" Type="http://schemas.openxmlformats.org/officeDocument/2006/relationships/printerSettings" Target="../printerSettings/printerSettings451.bin"/><Relationship Id="rId6" Type="http://schemas.openxmlformats.org/officeDocument/2006/relationships/printerSettings" Target="../printerSettings/printerSettings456.bin"/><Relationship Id="rId11" Type="http://schemas.openxmlformats.org/officeDocument/2006/relationships/drawing" Target="../drawings/drawing43.xml"/><Relationship Id="rId5" Type="http://schemas.openxmlformats.org/officeDocument/2006/relationships/printerSettings" Target="../printerSettings/printerSettings455.bin"/><Relationship Id="rId10" Type="http://schemas.openxmlformats.org/officeDocument/2006/relationships/printerSettings" Target="../printerSettings/printerSettings460.bin"/><Relationship Id="rId4" Type="http://schemas.openxmlformats.org/officeDocument/2006/relationships/printerSettings" Target="../printerSettings/printerSettings454.bin"/><Relationship Id="rId9" Type="http://schemas.openxmlformats.org/officeDocument/2006/relationships/printerSettings" Target="../printerSettings/printerSettings459.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468.bin"/><Relationship Id="rId13" Type="http://schemas.openxmlformats.org/officeDocument/2006/relationships/comments" Target="../comments36.xml"/><Relationship Id="rId3" Type="http://schemas.openxmlformats.org/officeDocument/2006/relationships/printerSettings" Target="../printerSettings/printerSettings463.bin"/><Relationship Id="rId7" Type="http://schemas.openxmlformats.org/officeDocument/2006/relationships/printerSettings" Target="../printerSettings/printerSettings467.bin"/><Relationship Id="rId12" Type="http://schemas.openxmlformats.org/officeDocument/2006/relationships/vmlDrawing" Target="../drawings/vmlDrawing36.vml"/><Relationship Id="rId2" Type="http://schemas.openxmlformats.org/officeDocument/2006/relationships/printerSettings" Target="../printerSettings/printerSettings462.bin"/><Relationship Id="rId1" Type="http://schemas.openxmlformats.org/officeDocument/2006/relationships/printerSettings" Target="../printerSettings/printerSettings461.bin"/><Relationship Id="rId6" Type="http://schemas.openxmlformats.org/officeDocument/2006/relationships/printerSettings" Target="../printerSettings/printerSettings466.bin"/><Relationship Id="rId11" Type="http://schemas.openxmlformats.org/officeDocument/2006/relationships/drawing" Target="../drawings/drawing44.xml"/><Relationship Id="rId5" Type="http://schemas.openxmlformats.org/officeDocument/2006/relationships/printerSettings" Target="../printerSettings/printerSettings465.bin"/><Relationship Id="rId10" Type="http://schemas.openxmlformats.org/officeDocument/2006/relationships/printerSettings" Target="../printerSettings/printerSettings470.bin"/><Relationship Id="rId4" Type="http://schemas.openxmlformats.org/officeDocument/2006/relationships/printerSettings" Target="../printerSettings/printerSettings464.bin"/><Relationship Id="rId9" Type="http://schemas.openxmlformats.org/officeDocument/2006/relationships/printerSettings" Target="../printerSettings/printerSettings469.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478.bin"/><Relationship Id="rId13" Type="http://schemas.openxmlformats.org/officeDocument/2006/relationships/comments" Target="../comments37.xml"/><Relationship Id="rId3" Type="http://schemas.openxmlformats.org/officeDocument/2006/relationships/printerSettings" Target="../printerSettings/printerSettings473.bin"/><Relationship Id="rId7" Type="http://schemas.openxmlformats.org/officeDocument/2006/relationships/printerSettings" Target="../printerSettings/printerSettings477.bin"/><Relationship Id="rId12" Type="http://schemas.openxmlformats.org/officeDocument/2006/relationships/vmlDrawing" Target="../drawings/vmlDrawing37.vml"/><Relationship Id="rId2" Type="http://schemas.openxmlformats.org/officeDocument/2006/relationships/printerSettings" Target="../printerSettings/printerSettings472.bin"/><Relationship Id="rId1" Type="http://schemas.openxmlformats.org/officeDocument/2006/relationships/printerSettings" Target="../printerSettings/printerSettings471.bin"/><Relationship Id="rId6" Type="http://schemas.openxmlformats.org/officeDocument/2006/relationships/printerSettings" Target="../printerSettings/printerSettings476.bin"/><Relationship Id="rId11" Type="http://schemas.openxmlformats.org/officeDocument/2006/relationships/drawing" Target="../drawings/drawing45.xml"/><Relationship Id="rId5" Type="http://schemas.openxmlformats.org/officeDocument/2006/relationships/printerSettings" Target="../printerSettings/printerSettings475.bin"/><Relationship Id="rId10" Type="http://schemas.openxmlformats.org/officeDocument/2006/relationships/printerSettings" Target="../printerSettings/printerSettings480.bin"/><Relationship Id="rId4" Type="http://schemas.openxmlformats.org/officeDocument/2006/relationships/printerSettings" Target="../printerSettings/printerSettings474.bin"/><Relationship Id="rId9" Type="http://schemas.openxmlformats.org/officeDocument/2006/relationships/printerSettings" Target="../printerSettings/printerSettings479.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488.bin"/><Relationship Id="rId13" Type="http://schemas.openxmlformats.org/officeDocument/2006/relationships/comments" Target="../comments38.xml"/><Relationship Id="rId3" Type="http://schemas.openxmlformats.org/officeDocument/2006/relationships/printerSettings" Target="../printerSettings/printerSettings483.bin"/><Relationship Id="rId7" Type="http://schemas.openxmlformats.org/officeDocument/2006/relationships/printerSettings" Target="../printerSettings/printerSettings487.bin"/><Relationship Id="rId12" Type="http://schemas.openxmlformats.org/officeDocument/2006/relationships/vmlDrawing" Target="../drawings/vmlDrawing38.vml"/><Relationship Id="rId2" Type="http://schemas.openxmlformats.org/officeDocument/2006/relationships/printerSettings" Target="../printerSettings/printerSettings482.bin"/><Relationship Id="rId1" Type="http://schemas.openxmlformats.org/officeDocument/2006/relationships/printerSettings" Target="../printerSettings/printerSettings481.bin"/><Relationship Id="rId6" Type="http://schemas.openxmlformats.org/officeDocument/2006/relationships/printerSettings" Target="../printerSettings/printerSettings486.bin"/><Relationship Id="rId11" Type="http://schemas.openxmlformats.org/officeDocument/2006/relationships/drawing" Target="../drawings/drawing46.xml"/><Relationship Id="rId5" Type="http://schemas.openxmlformats.org/officeDocument/2006/relationships/printerSettings" Target="../printerSettings/printerSettings485.bin"/><Relationship Id="rId10" Type="http://schemas.openxmlformats.org/officeDocument/2006/relationships/printerSettings" Target="../printerSettings/printerSettings490.bin"/><Relationship Id="rId4" Type="http://schemas.openxmlformats.org/officeDocument/2006/relationships/printerSettings" Target="../printerSettings/printerSettings484.bin"/><Relationship Id="rId9" Type="http://schemas.openxmlformats.org/officeDocument/2006/relationships/printerSettings" Target="../printerSettings/printerSettings489.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drawing" Target="../drawings/drawing47.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28.bin"/><Relationship Id="rId3" Type="http://schemas.openxmlformats.org/officeDocument/2006/relationships/printerSettings" Target="../printerSettings/printerSettings23.bin"/><Relationship Id="rId7" Type="http://schemas.openxmlformats.org/officeDocument/2006/relationships/printerSettings" Target="../printerSettings/printerSettings27.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11" Type="http://schemas.openxmlformats.org/officeDocument/2006/relationships/drawing" Target="../drawings/drawing6.xml"/><Relationship Id="rId5" Type="http://schemas.openxmlformats.org/officeDocument/2006/relationships/printerSettings" Target="../printerSettings/printerSettings25.bin"/><Relationship Id="rId10" Type="http://schemas.openxmlformats.org/officeDocument/2006/relationships/printerSettings" Target="../printerSettings/printerSettings30.bin"/><Relationship Id="rId4" Type="http://schemas.openxmlformats.org/officeDocument/2006/relationships/printerSettings" Target="../printerSettings/printerSettings24.bin"/><Relationship Id="rId9" Type="http://schemas.openxmlformats.org/officeDocument/2006/relationships/printerSettings" Target="../printerSettings/printerSettings2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38.bin"/><Relationship Id="rId3" Type="http://schemas.openxmlformats.org/officeDocument/2006/relationships/printerSettings" Target="../printerSettings/printerSettings33.bin"/><Relationship Id="rId7" Type="http://schemas.openxmlformats.org/officeDocument/2006/relationships/printerSettings" Target="../printerSettings/printerSettings37.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drawing" Target="../drawings/drawing7.xml"/><Relationship Id="rId5" Type="http://schemas.openxmlformats.org/officeDocument/2006/relationships/printerSettings" Target="../printerSettings/printerSettings35.bin"/><Relationship Id="rId10" Type="http://schemas.openxmlformats.org/officeDocument/2006/relationships/printerSettings" Target="../printerSettings/printerSettings40.bin"/><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printerSettings" Target="../printerSettings/printerSettings43.bin"/><Relationship Id="rId7" Type="http://schemas.openxmlformats.org/officeDocument/2006/relationships/printerSettings" Target="../printerSettings/printerSettings47.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11" Type="http://schemas.openxmlformats.org/officeDocument/2006/relationships/drawing" Target="../drawings/drawing8.xml"/><Relationship Id="rId5" Type="http://schemas.openxmlformats.org/officeDocument/2006/relationships/printerSettings" Target="../printerSettings/printerSettings45.bin"/><Relationship Id="rId10" Type="http://schemas.openxmlformats.org/officeDocument/2006/relationships/printerSettings" Target="../printerSettings/printerSettings50.bin"/><Relationship Id="rId4" Type="http://schemas.openxmlformats.org/officeDocument/2006/relationships/printerSettings" Target="../printerSettings/printerSettings44.bin"/><Relationship Id="rId9" Type="http://schemas.openxmlformats.org/officeDocument/2006/relationships/printerSettings" Target="../printerSettings/printerSettings4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B33A-8519-45D5-AB98-505321E24A98}">
  <sheetPr codeName="Sheet51"/>
  <dimension ref="C11:C39"/>
  <sheetViews>
    <sheetView showGridLines="0" tabSelected="1" zoomScaleNormal="100" workbookViewId="0"/>
  </sheetViews>
  <sheetFormatPr defaultRowHeight="14.5"/>
  <cols>
    <col min="1" max="1" width="5" customWidth="1"/>
    <col min="2" max="2" width="11.81640625" customWidth="1"/>
    <col min="3" max="3" width="184.54296875" customWidth="1"/>
  </cols>
  <sheetData>
    <row r="11" spans="3:3" ht="57">
      <c r="C11" s="448" t="s">
        <v>0</v>
      </c>
    </row>
    <row r="13" spans="3:3" ht="43.5">
      <c r="C13" s="81" t="s">
        <v>1</v>
      </c>
    </row>
    <row r="14" spans="3:3">
      <c r="C14" s="81"/>
    </row>
    <row r="15" spans="3:3">
      <c r="C15" s="335" t="s">
        <v>2</v>
      </c>
    </row>
    <row r="16" spans="3:3" ht="29">
      <c r="C16" s="81" t="s">
        <v>3</v>
      </c>
    </row>
    <row r="18" spans="3:3" ht="29">
      <c r="C18" s="81" t="s">
        <v>4</v>
      </c>
    </row>
    <row r="19" spans="3:3">
      <c r="C19" s="81"/>
    </row>
    <row r="20" spans="3:3" ht="29">
      <c r="C20" s="81" t="s">
        <v>5</v>
      </c>
    </row>
    <row r="22" spans="3:3">
      <c r="C22" s="335" t="s">
        <v>6</v>
      </c>
    </row>
    <row r="23" spans="3:3" ht="43.5">
      <c r="C23" s="81" t="s">
        <v>7</v>
      </c>
    </row>
    <row r="25" spans="3:3">
      <c r="C25" s="335" t="s">
        <v>8</v>
      </c>
    </row>
    <row r="26" spans="3:3" ht="29">
      <c r="C26" s="81" t="s">
        <v>9</v>
      </c>
    </row>
    <row r="28" spans="3:3">
      <c r="C28" s="28" t="s">
        <v>10</v>
      </c>
    </row>
    <row r="29" spans="3:3">
      <c r="C29" t="s">
        <v>11</v>
      </c>
    </row>
    <row r="31" spans="3:3" ht="29">
      <c r="C31" s="81" t="s">
        <v>12</v>
      </c>
    </row>
    <row r="33" spans="3:3" ht="28.5">
      <c r="C33" s="191" t="s">
        <v>13</v>
      </c>
    </row>
    <row r="35" spans="3:3" ht="29">
      <c r="C35" s="81" t="s">
        <v>14</v>
      </c>
    </row>
    <row r="37" spans="3:3" ht="29">
      <c r="C37" s="81" t="s">
        <v>15</v>
      </c>
    </row>
    <row r="39" spans="3:3" ht="29">
      <c r="C39" s="81" t="s">
        <v>16</v>
      </c>
    </row>
  </sheetData>
  <customSheetViews>
    <customSheetView guid="{2D920366-22B2-4182-A65D-0EDBE614FB37}" showGridLines="0">
      <pageMargins left="0" right="0" top="0" bottom="0" header="0" footer="0"/>
    </customSheetView>
    <customSheetView guid="{F468A2FD-7987-4A9D-8BAE-1AACE523607F}" showGridLines="0" topLeftCell="A13">
      <selection activeCell="C39" sqref="C39"/>
      <pageMargins left="0" right="0" top="0" bottom="0" header="0" footer="0"/>
    </customSheetView>
    <customSheetView guid="{D97B1299-69D0-4EE0-B673-CCF74742F96B}">
      <selection activeCell="D2" sqref="D2"/>
      <pageMargins left="0" right="0" top="0" bottom="0" header="0" footer="0"/>
    </customSheetView>
    <customSheetView guid="{3F0A4FBA-5323-448F-A023-B3E14C54064C}" showGridLines="0">
      <selection activeCell="D2" sqref="D2"/>
      <pageMargins left="0" right="0" top="0" bottom="0" header="0" footer="0"/>
    </customSheetView>
    <customSheetView guid="{E6EFD927-84B2-4D06-BB59-59D9DF522DA2}" showGridLines="0">
      <selection activeCell="D2" sqref="D2"/>
      <pageMargins left="0" right="0" top="0" bottom="0" header="0" footer="0"/>
    </customSheetView>
    <customSheetView guid="{0E935136-9A80-44B6-88D5-61E64D742049}" showGridLines="0" topLeftCell="A13">
      <selection activeCell="D2" sqref="D2"/>
      <pageMargins left="0" right="0" top="0" bottom="0" header="0" footer="0"/>
    </customSheetView>
    <customSheetView guid="{1C16EB38-F785-4168-9938-104594734038}" showGridLines="0">
      <selection activeCell="D2" sqref="D2"/>
      <pageMargins left="0" right="0" top="0" bottom="0" header="0" footer="0"/>
    </customSheetView>
    <customSheetView guid="{EECBF9DF-6D77-4263-85DA-71E40216BADD}" showGridLines="0" topLeftCell="A13">
      <selection activeCell="D2" sqref="D2"/>
      <pageMargins left="0" right="0" top="0" bottom="0" header="0" footer="0"/>
    </customSheetView>
    <customSheetView guid="{F03309BC-D3FA-4CF2-833B-D6D9A95FE1FB}" showGridLines="0">
      <selection activeCell="D2" sqref="D2"/>
      <pageMargins left="0" right="0" top="0" bottom="0" header="0" footer="0"/>
    </customSheetView>
  </customSheetViews>
  <pageMargins left="0" right="0" top="0" bottom="0" header="0" footer="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rgb="FFC7E8FA"/>
  </sheetPr>
  <dimension ref="B2:AA152"/>
  <sheetViews>
    <sheetView showGridLines="0" zoomScaleNormal="100" workbookViewId="0"/>
  </sheetViews>
  <sheetFormatPr defaultColWidth="7.1796875" defaultRowHeight="14.5"/>
  <cols>
    <col min="1" max="1" width="7.1796875" style="4"/>
    <col min="2" max="2" width="39.1796875" style="4" customWidth="1"/>
    <col min="3" max="3" width="23.81640625" style="4" customWidth="1"/>
    <col min="4" max="4" width="16.54296875" style="4" customWidth="1"/>
    <col min="5" max="5" width="17.81640625" style="4" customWidth="1"/>
    <col min="6" max="9" width="14" style="4" customWidth="1"/>
    <col min="10" max="10" width="16.81640625" style="4" customWidth="1"/>
    <col min="11" max="11" width="19.81640625" style="4" customWidth="1"/>
    <col min="12" max="13" width="18.1796875" style="4" customWidth="1"/>
    <col min="14" max="14" width="23.54296875" style="4" customWidth="1"/>
    <col min="15" max="15" width="19" style="4" customWidth="1"/>
    <col min="16" max="16" width="25" style="4" customWidth="1"/>
    <col min="17" max="18" width="18.1796875" style="4" customWidth="1"/>
    <col min="19" max="19" width="16.54296875" style="4" customWidth="1"/>
    <col min="20" max="20" width="8.81640625" style="4" customWidth="1"/>
    <col min="21" max="21" width="7.1796875" style="4"/>
    <col min="22" max="22" width="12.81640625" style="4" customWidth="1"/>
    <col min="23" max="23" width="7.1796875" style="4"/>
    <col min="24" max="24" width="16.1796875" style="4" customWidth="1"/>
    <col min="25" max="25" width="16.453125" style="4" customWidth="1"/>
    <col min="26" max="26" width="12.7265625" style="4" customWidth="1"/>
    <col min="27" max="27" width="14.1796875" style="4" customWidth="1"/>
    <col min="28" max="16384" width="7.1796875" style="4"/>
  </cols>
  <sheetData>
    <row r="2" spans="2:10" ht="18.5">
      <c r="B2" s="380" t="s">
        <v>254</v>
      </c>
      <c r="C2" s="381"/>
      <c r="D2" s="381"/>
      <c r="E2" s="381"/>
      <c r="F2" s="381"/>
      <c r="G2" s="382"/>
      <c r="H2" s="381"/>
      <c r="I2" s="381"/>
      <c r="J2" s="381"/>
    </row>
    <row r="3" spans="2:10" ht="15" thickBot="1">
      <c r="B3" s="5" t="s">
        <v>255</v>
      </c>
      <c r="C3" s="383" t="s">
        <v>256</v>
      </c>
      <c r="D3" s="383" t="s">
        <v>257</v>
      </c>
      <c r="E3" s="383" t="s">
        <v>258</v>
      </c>
      <c r="F3" s="383" t="s">
        <v>259</v>
      </c>
      <c r="G3" s="383" t="s">
        <v>260</v>
      </c>
      <c r="H3" s="384"/>
      <c r="I3" s="384"/>
      <c r="J3" s="384"/>
    </row>
    <row r="4" spans="2:10" ht="15" thickTop="1">
      <c r="B4" s="385" t="s">
        <v>261</v>
      </c>
      <c r="C4" s="386"/>
      <c r="D4" s="386">
        <v>238.8</v>
      </c>
      <c r="E4" s="386">
        <f>2.388*10^-5</f>
        <v>2.3880000000000002E-5</v>
      </c>
      <c r="F4" s="386">
        <v>947.8</v>
      </c>
      <c r="G4" s="386">
        <v>0.27779999999999999</v>
      </c>
      <c r="H4" s="384"/>
      <c r="I4" s="384"/>
      <c r="J4" s="387"/>
    </row>
    <row r="5" spans="2:10">
      <c r="B5" s="385" t="s">
        <v>262</v>
      </c>
      <c r="C5" s="388">
        <f>4.1868*10^-3</f>
        <v>4.1868000000000001E-3</v>
      </c>
      <c r="D5" s="386"/>
      <c r="E5" s="386">
        <f>10^-7</f>
        <v>9.9999999999999995E-8</v>
      </c>
      <c r="F5" s="386">
        <v>3.968</v>
      </c>
      <c r="G5" s="386">
        <f>1.163*10^-3</f>
        <v>1.163E-3</v>
      </c>
      <c r="H5" s="384"/>
      <c r="I5" s="384"/>
      <c r="J5" s="389"/>
    </row>
    <row r="6" spans="2:10">
      <c r="B6" s="385" t="s">
        <v>263</v>
      </c>
      <c r="C6" s="390">
        <f>4.1868*10^4</f>
        <v>41868</v>
      </c>
      <c r="D6" s="390">
        <f>10^7</f>
        <v>10000000</v>
      </c>
      <c r="E6" s="386"/>
      <c r="F6" s="390">
        <f>3.968*10^7</f>
        <v>39680000</v>
      </c>
      <c r="G6" s="390">
        <v>11630</v>
      </c>
      <c r="H6" s="384"/>
      <c r="I6" s="384"/>
      <c r="J6" s="391"/>
    </row>
    <row r="7" spans="2:10">
      <c r="B7" s="385" t="s">
        <v>264</v>
      </c>
      <c r="C7" s="388">
        <f>1.0551*10^-3</f>
        <v>1.0551E-3</v>
      </c>
      <c r="D7" s="386">
        <v>0.252</v>
      </c>
      <c r="E7" s="386">
        <f>2.52*10^-8</f>
        <v>2.5200000000000001E-8</v>
      </c>
      <c r="F7" s="386"/>
      <c r="G7" s="388">
        <f>1/F8</f>
        <v>2.9307107044088316E-4</v>
      </c>
      <c r="H7" s="384"/>
      <c r="I7" s="384"/>
      <c r="J7" s="384"/>
    </row>
    <row r="8" spans="2:10">
      <c r="B8" s="385" t="s">
        <v>265</v>
      </c>
      <c r="C8" s="386">
        <v>3.6</v>
      </c>
      <c r="D8" s="386">
        <v>860</v>
      </c>
      <c r="E8" s="386">
        <f>8.6*10^-5</f>
        <v>8.6000000000000003E-5</v>
      </c>
      <c r="F8" s="390">
        <v>3412.1416300000001</v>
      </c>
      <c r="G8" s="392"/>
      <c r="H8" s="384"/>
      <c r="I8" s="384"/>
      <c r="J8" s="393"/>
    </row>
    <row r="9" spans="2:10">
      <c r="B9" s="384"/>
      <c r="C9" s="394"/>
      <c r="D9" s="394"/>
      <c r="E9" s="394"/>
      <c r="F9" s="394"/>
      <c r="G9" s="395"/>
      <c r="H9" s="384"/>
      <c r="I9" s="384"/>
      <c r="J9" s="384"/>
    </row>
    <row r="10" spans="2:10" ht="15.5">
      <c r="B10" s="396"/>
      <c r="C10" s="397"/>
      <c r="D10" s="397"/>
      <c r="E10" s="397"/>
      <c r="F10" s="397"/>
      <c r="G10" s="398"/>
      <c r="H10" s="396"/>
      <c r="I10" s="396"/>
      <c r="J10" s="381"/>
    </row>
    <row r="11" spans="2:10" ht="18.5">
      <c r="B11" s="380" t="s">
        <v>266</v>
      </c>
      <c r="C11" s="397"/>
      <c r="D11" s="397"/>
      <c r="E11" s="397"/>
      <c r="F11" s="397"/>
      <c r="G11" s="398"/>
      <c r="H11" s="396"/>
      <c r="I11" s="396"/>
      <c r="J11" s="381"/>
    </row>
    <row r="12" spans="2:10" ht="15" thickBot="1">
      <c r="B12" s="5" t="s">
        <v>255</v>
      </c>
      <c r="C12" s="383" t="s">
        <v>267</v>
      </c>
      <c r="D12" s="383" t="s">
        <v>268</v>
      </c>
      <c r="E12" s="383" t="s">
        <v>269</v>
      </c>
      <c r="F12" s="383" t="s">
        <v>270</v>
      </c>
      <c r="G12" s="383" t="s">
        <v>271</v>
      </c>
      <c r="H12" s="383" t="s">
        <v>272</v>
      </c>
      <c r="I12" s="383"/>
      <c r="J12" s="384"/>
    </row>
    <row r="13" spans="2:10" ht="15" thickTop="1">
      <c r="B13" s="385" t="s">
        <v>273</v>
      </c>
      <c r="C13" s="386"/>
      <c r="D13" s="386">
        <v>1E-3</v>
      </c>
      <c r="E13" s="399">
        <f>9.84207*10^-4</f>
        <v>9.8420699999999996E-4</v>
      </c>
      <c r="F13" s="400">
        <f>1.10231*10^-3</f>
        <v>1.10231E-3</v>
      </c>
      <c r="G13" s="401">
        <v>2.2046199999999998</v>
      </c>
      <c r="H13" s="402">
        <f>G13*16</f>
        <v>35.273919999999997</v>
      </c>
      <c r="I13" s="604"/>
      <c r="J13" s="384"/>
    </row>
    <row r="14" spans="2:10">
      <c r="B14" s="385" t="s">
        <v>274</v>
      </c>
      <c r="C14" s="386">
        <v>1000</v>
      </c>
      <c r="D14" s="386"/>
      <c r="E14" s="403">
        <v>0.98420700000000005</v>
      </c>
      <c r="F14" s="386">
        <v>1.1023099999999999</v>
      </c>
      <c r="G14" s="390">
        <v>2204.62</v>
      </c>
      <c r="H14" s="390">
        <f>G14*16</f>
        <v>35273.919999999998</v>
      </c>
      <c r="I14" s="605"/>
      <c r="J14" s="384"/>
    </row>
    <row r="15" spans="2:10">
      <c r="B15" s="385" t="s">
        <v>275</v>
      </c>
      <c r="C15" s="390">
        <f>1/E13</f>
        <v>1016.0464211288886</v>
      </c>
      <c r="D15" s="404">
        <f>1/E14</f>
        <v>1.0160464211288884</v>
      </c>
      <c r="E15" s="386"/>
      <c r="F15" s="404">
        <v>1.1200000000000001</v>
      </c>
      <c r="G15" s="390">
        <v>2240</v>
      </c>
      <c r="H15" s="390">
        <f>G15*16</f>
        <v>35840</v>
      </c>
      <c r="I15" s="605"/>
      <c r="J15" s="384"/>
    </row>
    <row r="16" spans="2:10">
      <c r="B16" s="385" t="s">
        <v>276</v>
      </c>
      <c r="C16" s="405">
        <f>1/F13</f>
        <v>907.18581887127937</v>
      </c>
      <c r="D16" s="403">
        <f>C16*D13</f>
        <v>0.90718581887127936</v>
      </c>
      <c r="E16" s="403">
        <f>C16*E13</f>
        <v>0.89285863323384518</v>
      </c>
      <c r="F16" s="386"/>
      <c r="G16" s="390">
        <v>2000</v>
      </c>
      <c r="H16" s="390">
        <f>G16*16</f>
        <v>32000</v>
      </c>
      <c r="I16" s="605"/>
      <c r="J16" s="384"/>
    </row>
    <row r="17" spans="2:10">
      <c r="B17" s="385" t="s">
        <v>277</v>
      </c>
      <c r="C17" s="403">
        <f>1/G13</f>
        <v>0.45359290943563974</v>
      </c>
      <c r="D17" s="399">
        <f>1/G14</f>
        <v>4.535929094356397E-4</v>
      </c>
      <c r="E17" s="399">
        <f>1/G15</f>
        <v>4.4642857142857141E-4</v>
      </c>
      <c r="F17" s="386">
        <f>1/G16</f>
        <v>5.0000000000000001E-4</v>
      </c>
      <c r="G17" s="392"/>
      <c r="H17" s="386">
        <v>16</v>
      </c>
      <c r="I17" s="606"/>
      <c r="J17" s="384"/>
    </row>
    <row r="18" spans="2:10">
      <c r="B18" s="385" t="s">
        <v>278</v>
      </c>
      <c r="C18" s="400">
        <f>C17/16</f>
        <v>2.8349556839727483E-2</v>
      </c>
      <c r="D18" s="406">
        <f>D17/16</f>
        <v>2.8349556839727481E-5</v>
      </c>
      <c r="E18" s="406">
        <f>E17/16</f>
        <v>2.7901785714285713E-5</v>
      </c>
      <c r="F18" s="406">
        <f>F17/16</f>
        <v>3.1250000000000001E-5</v>
      </c>
      <c r="G18" s="386">
        <f>1/16</f>
        <v>6.25E-2</v>
      </c>
      <c r="H18" s="386"/>
      <c r="I18" s="606"/>
      <c r="J18" s="384"/>
    </row>
    <row r="19" spans="2:10">
      <c r="B19" s="384"/>
      <c r="C19" s="394"/>
      <c r="D19" s="394"/>
      <c r="E19" s="394"/>
      <c r="F19" s="394"/>
      <c r="G19" s="395"/>
      <c r="H19" s="384"/>
      <c r="I19" s="384"/>
      <c r="J19" s="384"/>
    </row>
    <row r="20" spans="2:10" ht="15.5">
      <c r="B20" s="396"/>
      <c r="C20" s="397"/>
      <c r="D20" s="397"/>
      <c r="E20" s="397"/>
      <c r="F20" s="397"/>
      <c r="G20" s="398"/>
      <c r="H20" s="396"/>
      <c r="I20" s="396"/>
      <c r="J20" s="381"/>
    </row>
    <row r="21" spans="2:10" ht="18.5">
      <c r="B21" s="380" t="s">
        <v>279</v>
      </c>
      <c r="C21" s="396"/>
      <c r="D21" s="396"/>
      <c r="E21" s="396"/>
      <c r="F21" s="396"/>
      <c r="G21" s="398"/>
      <c r="H21" s="396"/>
      <c r="I21" s="396"/>
      <c r="J21" s="381"/>
    </row>
    <row r="22" spans="2:10" ht="15" thickBot="1">
      <c r="B22" s="5" t="s">
        <v>255</v>
      </c>
      <c r="C22" s="383" t="s">
        <v>280</v>
      </c>
      <c r="D22" s="383" t="s">
        <v>281</v>
      </c>
      <c r="E22" s="383" t="s">
        <v>282</v>
      </c>
      <c r="F22" s="383" t="s">
        <v>283</v>
      </c>
      <c r="G22" s="383" t="s">
        <v>284</v>
      </c>
      <c r="H22" s="383" t="s">
        <v>285</v>
      </c>
      <c r="I22" s="383"/>
      <c r="J22" s="384"/>
    </row>
    <row r="23" spans="2:10" ht="15" thickTop="1">
      <c r="B23" s="385" t="s">
        <v>286</v>
      </c>
      <c r="C23" s="386"/>
      <c r="D23" s="403">
        <v>0.83267400000000003</v>
      </c>
      <c r="E23" s="400">
        <f>1/C25</f>
        <v>2.3809523809523808E-2</v>
      </c>
      <c r="F23" s="403">
        <v>0.13368099999999999</v>
      </c>
      <c r="G23" s="407">
        <v>3.7854100000000002</v>
      </c>
      <c r="H23" s="408">
        <v>3.7854100000000003E-3</v>
      </c>
      <c r="I23" s="607"/>
      <c r="J23" s="409"/>
    </row>
    <row r="24" spans="2:10">
      <c r="B24" s="385" t="s">
        <v>287</v>
      </c>
      <c r="C24" s="403">
        <f>1/D23</f>
        <v>1.2009501917917456</v>
      </c>
      <c r="D24" s="386"/>
      <c r="E24" s="400">
        <f>1/D25</f>
        <v>2.8594052185517756E-2</v>
      </c>
      <c r="F24" s="403">
        <f>1/D26</f>
        <v>0.16054422258891232</v>
      </c>
      <c r="G24" s="403">
        <v>4.5460900000000004</v>
      </c>
      <c r="H24" s="400">
        <f>G24/1000</f>
        <v>4.54609E-3</v>
      </c>
      <c r="I24" s="608"/>
      <c r="J24" s="409"/>
    </row>
    <row r="25" spans="2:10">
      <c r="B25" s="385" t="s">
        <v>288</v>
      </c>
      <c r="C25" s="410">
        <v>42</v>
      </c>
      <c r="D25" s="402">
        <f>C25*D23</f>
        <v>34.972307999999998</v>
      </c>
      <c r="E25" s="386"/>
      <c r="F25" s="404">
        <f>1/E26</f>
        <v>5.6146019999999996</v>
      </c>
      <c r="G25" s="411">
        <v>158.98722000000001</v>
      </c>
      <c r="H25" s="400">
        <f>G25/1000</f>
        <v>0.15898722000000001</v>
      </c>
      <c r="I25" s="608"/>
      <c r="J25" s="409"/>
    </row>
    <row r="26" spans="2:10">
      <c r="B26" s="385" t="s">
        <v>289</v>
      </c>
      <c r="C26" s="403">
        <f>1/F23</f>
        <v>7.4804946103036336</v>
      </c>
      <c r="D26" s="404">
        <f>C26*D23</f>
        <v>6.2288133691399681</v>
      </c>
      <c r="E26" s="400">
        <f>C26*E23</f>
        <v>0.17810701453103889</v>
      </c>
      <c r="F26" s="386"/>
      <c r="G26" s="412">
        <v>28.316800000000001</v>
      </c>
      <c r="H26" s="400">
        <f>G26/1000</f>
        <v>2.83168E-2</v>
      </c>
      <c r="I26" s="608"/>
      <c r="J26" s="409"/>
    </row>
    <row r="27" spans="2:10">
      <c r="B27" s="385" t="s">
        <v>290</v>
      </c>
      <c r="C27" s="403">
        <v>0.26417217685798894</v>
      </c>
      <c r="D27" s="403">
        <f>1/G24</f>
        <v>0.21996924829908776</v>
      </c>
      <c r="E27" s="400">
        <f>1/G25</f>
        <v>6.2898137347140223E-3</v>
      </c>
      <c r="F27" s="403">
        <f>1/G26</f>
        <v>3.5314724827664144E-2</v>
      </c>
      <c r="G27" s="392"/>
      <c r="H27" s="386">
        <v>1E-3</v>
      </c>
      <c r="I27" s="606"/>
      <c r="J27" s="409"/>
    </row>
    <row r="28" spans="2:10">
      <c r="B28" s="385" t="s">
        <v>291</v>
      </c>
      <c r="C28" s="412">
        <f>1/H23</f>
        <v>264.17217685798892</v>
      </c>
      <c r="D28" s="412">
        <f>1/H24</f>
        <v>219.96924829908778</v>
      </c>
      <c r="E28" s="403">
        <f>1/H25</f>
        <v>6.2898137347140226</v>
      </c>
      <c r="F28" s="413">
        <f>1/H26</f>
        <v>35.314724827664143</v>
      </c>
      <c r="G28" s="390">
        <v>1000</v>
      </c>
      <c r="H28" s="392"/>
      <c r="I28" s="609"/>
      <c r="J28" s="384"/>
    </row>
    <row r="29" spans="2:10">
      <c r="B29" s="384"/>
      <c r="C29" s="394"/>
      <c r="D29" s="394"/>
      <c r="E29" s="394"/>
      <c r="F29" s="394"/>
      <c r="G29" s="395"/>
      <c r="H29" s="384"/>
      <c r="I29" s="384"/>
      <c r="J29" s="384"/>
    </row>
    <row r="30" spans="2:10">
      <c r="B30" s="384"/>
      <c r="C30" s="394"/>
      <c r="D30" s="394"/>
      <c r="E30" s="394"/>
      <c r="F30" s="394"/>
      <c r="G30" s="395"/>
      <c r="H30" s="384"/>
      <c r="I30" s="384"/>
      <c r="J30" s="384"/>
    </row>
    <row r="31" spans="2:10" ht="18.5">
      <c r="B31" s="380" t="s">
        <v>292</v>
      </c>
      <c r="C31" s="381"/>
      <c r="D31" s="381"/>
      <c r="E31" s="381"/>
      <c r="F31" s="381"/>
      <c r="G31" s="382"/>
      <c r="H31" s="381"/>
      <c r="I31" s="381"/>
      <c r="J31" s="381"/>
    </row>
    <row r="32" spans="2:10" ht="15" thickBot="1">
      <c r="B32" s="5" t="s">
        <v>255</v>
      </c>
      <c r="C32" s="383" t="s">
        <v>293</v>
      </c>
      <c r="D32" s="383" t="s">
        <v>294</v>
      </c>
      <c r="E32" s="383" t="s">
        <v>295</v>
      </c>
      <c r="F32" s="383" t="s">
        <v>296</v>
      </c>
      <c r="G32" s="383" t="s">
        <v>297</v>
      </c>
      <c r="H32" s="383" t="s">
        <v>298</v>
      </c>
      <c r="I32" s="383"/>
      <c r="J32" s="383" t="s">
        <v>299</v>
      </c>
    </row>
    <row r="33" spans="2:10" ht="15" thickTop="1">
      <c r="B33" s="385" t="s">
        <v>300</v>
      </c>
      <c r="C33" s="386"/>
      <c r="D33" s="403">
        <f>1/C34</f>
        <v>8.3333333333333329E-2</v>
      </c>
      <c r="E33" s="400">
        <f>1/C35</f>
        <v>2.7777777777777776E-2</v>
      </c>
      <c r="F33" s="388">
        <f>1/C36</f>
        <v>1.5782828282828283E-5</v>
      </c>
      <c r="G33" s="414">
        <f>1/C37</f>
        <v>1.3714900141812068E-5</v>
      </c>
      <c r="H33" s="400">
        <f>1/C38</f>
        <v>2.5399986284007407E-2</v>
      </c>
      <c r="I33" s="400"/>
      <c r="J33" s="388">
        <f>H33/1000</f>
        <v>2.5399986284007409E-5</v>
      </c>
    </row>
    <row r="34" spans="2:10">
      <c r="B34" s="385" t="s">
        <v>301</v>
      </c>
      <c r="C34" s="390">
        <v>12</v>
      </c>
      <c r="D34" s="386"/>
      <c r="E34" s="403">
        <f>1/D35</f>
        <v>0.33333333333333331</v>
      </c>
      <c r="F34" s="399">
        <f>1/D36</f>
        <v>1.8939393939393939E-4</v>
      </c>
      <c r="G34" s="399">
        <f>1/D37</f>
        <v>1.6457880170174483E-4</v>
      </c>
      <c r="H34" s="403">
        <f>1/D38</f>
        <v>0.30479983540808891</v>
      </c>
      <c r="I34" s="403"/>
      <c r="J34" s="399">
        <f>H34/1000</f>
        <v>3.0479983540808892E-4</v>
      </c>
    </row>
    <row r="35" spans="2:10">
      <c r="B35" s="385" t="s">
        <v>302</v>
      </c>
      <c r="C35" s="390">
        <v>36</v>
      </c>
      <c r="D35" s="390">
        <f>C35*D33</f>
        <v>3</v>
      </c>
      <c r="E35" s="386"/>
      <c r="F35" s="415">
        <f>1/E36</f>
        <v>5.6818181818181815E-4</v>
      </c>
      <c r="G35" s="399">
        <f>1/E37</f>
        <v>4.9373640510523445E-4</v>
      </c>
      <c r="H35" s="403">
        <f>1/E38</f>
        <v>0.91439950622426669</v>
      </c>
      <c r="I35" s="403"/>
      <c r="J35" s="413">
        <f>H35/1000</f>
        <v>9.143995062242667E-4</v>
      </c>
    </row>
    <row r="36" spans="2:10">
      <c r="B36" s="385" t="s">
        <v>303</v>
      </c>
      <c r="C36" s="390">
        <v>63360</v>
      </c>
      <c r="D36" s="390">
        <f>C36*D33</f>
        <v>5280</v>
      </c>
      <c r="E36" s="390">
        <f>C36*E33</f>
        <v>1760</v>
      </c>
      <c r="F36" s="386"/>
      <c r="G36" s="403">
        <f>1/F37</f>
        <v>0.86897607298521262</v>
      </c>
      <c r="H36" s="390">
        <f>1/F38</f>
        <v>1609.3431309547093</v>
      </c>
      <c r="I36" s="390"/>
      <c r="J36" s="403">
        <f>H36/1000</f>
        <v>1.6093431309547093</v>
      </c>
    </row>
    <row r="37" spans="2:10">
      <c r="B37" s="385" t="s">
        <v>304</v>
      </c>
      <c r="C37" s="390">
        <v>72913.399999999994</v>
      </c>
      <c r="D37" s="390">
        <f>C37*D33</f>
        <v>6076.1166666666659</v>
      </c>
      <c r="E37" s="390">
        <f>C37*E33</f>
        <v>2025.372222222222</v>
      </c>
      <c r="F37" s="403">
        <f>C37*F33</f>
        <v>1.1507796717171717</v>
      </c>
      <c r="G37" s="392"/>
      <c r="H37" s="390">
        <f>1/G38</f>
        <v>1851.9993599203453</v>
      </c>
      <c r="I37" s="390"/>
      <c r="J37" s="403">
        <f>H37/1000</f>
        <v>1.8519993599203453</v>
      </c>
    </row>
    <row r="38" spans="2:10">
      <c r="B38" s="385" t="s">
        <v>305</v>
      </c>
      <c r="C38" s="411">
        <v>39.370100000000001</v>
      </c>
      <c r="D38" s="413">
        <f>C38*D33</f>
        <v>3.2808416666666664</v>
      </c>
      <c r="E38" s="413">
        <f>C38*E33</f>
        <v>1.0936138888888889</v>
      </c>
      <c r="F38" s="399">
        <f>C38*F33</f>
        <v>6.2137152777777776E-4</v>
      </c>
      <c r="G38" s="399">
        <f>C38*G33</f>
        <v>5.3995699007315537E-4</v>
      </c>
      <c r="H38" s="392"/>
      <c r="I38" s="392"/>
      <c r="J38" s="403">
        <f>1/H39</f>
        <v>1E-3</v>
      </c>
    </row>
    <row r="39" spans="2:10">
      <c r="B39" s="385" t="s">
        <v>306</v>
      </c>
      <c r="C39" s="390">
        <f>C38*1000</f>
        <v>39370.1</v>
      </c>
      <c r="D39" s="412">
        <f>D38*1000</f>
        <v>3280.8416666666662</v>
      </c>
      <c r="E39" s="412">
        <f>E38*1000</f>
        <v>1093.6138888888888</v>
      </c>
      <c r="F39" s="402">
        <f>F38*1000</f>
        <v>0.62137152777777771</v>
      </c>
      <c r="G39" s="402">
        <f>G38*1000</f>
        <v>0.53995699007315534</v>
      </c>
      <c r="H39" s="390">
        <v>1000</v>
      </c>
      <c r="I39" s="390"/>
      <c r="J39" s="416"/>
    </row>
    <row r="40" spans="2:10">
      <c r="B40" s="384"/>
      <c r="C40" s="394"/>
      <c r="D40" s="394"/>
      <c r="E40" s="394"/>
      <c r="F40" s="394"/>
      <c r="G40" s="395"/>
      <c r="H40" s="384"/>
      <c r="I40" s="384"/>
      <c r="J40" s="384"/>
    </row>
    <row r="41" spans="2:10">
      <c r="B41" s="384"/>
      <c r="C41" s="394"/>
      <c r="D41" s="394"/>
      <c r="E41" s="394"/>
      <c r="F41" s="394"/>
      <c r="G41" s="395"/>
      <c r="H41" s="384"/>
      <c r="I41" s="384"/>
      <c r="J41" s="384"/>
    </row>
    <row r="42" spans="2:10" ht="18.5">
      <c r="B42" s="380" t="s">
        <v>307</v>
      </c>
      <c r="C42" s="381"/>
    </row>
    <row r="43" spans="2:10" ht="15" thickBot="1">
      <c r="B43" s="5" t="s">
        <v>255</v>
      </c>
      <c r="C43" s="383" t="s">
        <v>308</v>
      </c>
      <c r="D43" s="383" t="s">
        <v>309</v>
      </c>
    </row>
    <row r="44" spans="2:10" ht="15" thickTop="1">
      <c r="B44" s="385" t="s">
        <v>310</v>
      </c>
      <c r="C44" s="386"/>
      <c r="D44" s="403">
        <v>0.74569987199999999</v>
      </c>
    </row>
    <row r="45" spans="2:10">
      <c r="B45" s="385" t="s">
        <v>311</v>
      </c>
      <c r="C45" s="404">
        <f>1/D44</f>
        <v>1.3410220888438076</v>
      </c>
      <c r="D45" s="386"/>
    </row>
    <row r="48" spans="2:10" ht="18.5">
      <c r="B48" s="380" t="s">
        <v>312</v>
      </c>
      <c r="C48" s="381"/>
    </row>
    <row r="49" spans="2:4" ht="15" thickBot="1">
      <c r="B49" s="5" t="s">
        <v>255</v>
      </c>
      <c r="C49" s="383" t="s">
        <v>313</v>
      </c>
      <c r="D49" s="383" t="s">
        <v>314</v>
      </c>
    </row>
    <row r="50" spans="2:4" ht="15" thickTop="1">
      <c r="B50" s="385" t="s">
        <v>314</v>
      </c>
      <c r="C50" s="386">
        <v>10</v>
      </c>
      <c r="D50" s="403"/>
    </row>
    <row r="51" spans="2:4">
      <c r="B51" s="385" t="s">
        <v>313</v>
      </c>
      <c r="C51" s="404"/>
      <c r="D51" s="386">
        <v>0.1</v>
      </c>
    </row>
    <row r="54" spans="2:4" ht="18.5">
      <c r="B54" s="380" t="s">
        <v>315</v>
      </c>
      <c r="C54" s="381"/>
      <c r="D54" s="381"/>
    </row>
    <row r="55" spans="2:4" ht="15" thickBot="1">
      <c r="B55" s="5" t="s">
        <v>316</v>
      </c>
      <c r="C55" s="5" t="s">
        <v>317</v>
      </c>
      <c r="D55" s="5" t="s">
        <v>318</v>
      </c>
    </row>
    <row r="56" spans="2:4" ht="15" thickTop="1">
      <c r="B56" s="6" t="s">
        <v>319</v>
      </c>
      <c r="C56" s="6" t="s">
        <v>320</v>
      </c>
      <c r="D56" s="6" t="s">
        <v>321</v>
      </c>
    </row>
    <row r="57" spans="2:4">
      <c r="B57" s="6" t="s">
        <v>322</v>
      </c>
      <c r="C57" s="6" t="s">
        <v>323</v>
      </c>
      <c r="D57" s="6" t="s">
        <v>324</v>
      </c>
    </row>
    <row r="58" spans="2:4">
      <c r="B58" s="6" t="s">
        <v>325</v>
      </c>
      <c r="C58" s="6" t="s">
        <v>326</v>
      </c>
      <c r="D58" s="6" t="s">
        <v>327</v>
      </c>
    </row>
    <row r="59" spans="2:4">
      <c r="B59" s="6" t="s">
        <v>328</v>
      </c>
      <c r="C59" s="6" t="s">
        <v>329</v>
      </c>
      <c r="D59" s="6" t="s">
        <v>330</v>
      </c>
    </row>
    <row r="60" spans="2:4">
      <c r="B60" s="6" t="s">
        <v>331</v>
      </c>
      <c r="C60" s="6" t="s">
        <v>332</v>
      </c>
      <c r="D60" s="6" t="s">
        <v>333</v>
      </c>
    </row>
    <row r="61" spans="2:4">
      <c r="B61" s="6" t="s">
        <v>334</v>
      </c>
      <c r="C61" s="6" t="s">
        <v>335</v>
      </c>
      <c r="D61" s="6" t="s">
        <v>336</v>
      </c>
    </row>
    <row r="62" spans="2:4">
      <c r="B62" s="6" t="s">
        <v>337</v>
      </c>
      <c r="C62" s="6" t="s">
        <v>338</v>
      </c>
      <c r="D62" s="6" t="s">
        <v>339</v>
      </c>
    </row>
    <row r="63" spans="2:4">
      <c r="B63" s="6" t="s">
        <v>340</v>
      </c>
      <c r="C63" s="6" t="s">
        <v>341</v>
      </c>
      <c r="D63" s="6" t="s">
        <v>342</v>
      </c>
    </row>
    <row r="64" spans="2:4">
      <c r="B64" s="6" t="s">
        <v>343</v>
      </c>
      <c r="C64" s="6" t="s">
        <v>344</v>
      </c>
      <c r="D64" s="6" t="s">
        <v>345</v>
      </c>
    </row>
    <row r="65" spans="2:4">
      <c r="B65" s="6" t="s">
        <v>346</v>
      </c>
      <c r="C65" s="6" t="s">
        <v>347</v>
      </c>
      <c r="D65" s="6" t="s">
        <v>348</v>
      </c>
    </row>
    <row r="66" spans="2:4">
      <c r="B66" s="7" t="s">
        <v>349</v>
      </c>
      <c r="C66" s="6" t="s">
        <v>350</v>
      </c>
      <c r="D66" s="6" t="s">
        <v>351</v>
      </c>
    </row>
    <row r="67" spans="2:4">
      <c r="B67" s="7" t="s">
        <v>352</v>
      </c>
      <c r="C67" s="6" t="s">
        <v>353</v>
      </c>
      <c r="D67" s="6" t="s">
        <v>354</v>
      </c>
    </row>
    <row r="68" spans="2:4">
      <c r="B68" s="7" t="s">
        <v>355</v>
      </c>
      <c r="C68" s="6" t="s">
        <v>356</v>
      </c>
      <c r="D68" s="6" t="s">
        <v>298</v>
      </c>
    </row>
    <row r="69" spans="2:4">
      <c r="B69" s="7" t="s">
        <v>357</v>
      </c>
      <c r="C69" s="6" t="s">
        <v>358</v>
      </c>
      <c r="D69" s="6" t="s">
        <v>298</v>
      </c>
    </row>
    <row r="70" spans="2:4">
      <c r="B70" s="7" t="s">
        <v>359</v>
      </c>
      <c r="C70" s="6" t="s">
        <v>360</v>
      </c>
      <c r="D70" s="6" t="s">
        <v>361</v>
      </c>
    </row>
    <row r="71" spans="2:4">
      <c r="B71" s="7" t="s">
        <v>362</v>
      </c>
      <c r="C71" s="6" t="s">
        <v>363</v>
      </c>
      <c r="D71" s="6" t="s">
        <v>364</v>
      </c>
    </row>
    <row r="72" spans="2:4">
      <c r="B72" s="8" t="s">
        <v>365</v>
      </c>
      <c r="C72" s="6" t="s">
        <v>366</v>
      </c>
      <c r="D72" s="6" t="s">
        <v>367</v>
      </c>
    </row>
    <row r="73" spans="2:4">
      <c r="B73" s="8" t="s">
        <v>368</v>
      </c>
      <c r="C73" s="6" t="s">
        <v>369</v>
      </c>
      <c r="D73" s="6" t="s">
        <v>370</v>
      </c>
    </row>
    <row r="74" spans="2:4">
      <c r="B74" s="8" t="s">
        <v>371</v>
      </c>
      <c r="C74" s="6" t="s">
        <v>372</v>
      </c>
      <c r="D74" s="6" t="s">
        <v>373</v>
      </c>
    </row>
    <row r="75" spans="2:4">
      <c r="B75" s="8" t="s">
        <v>374</v>
      </c>
      <c r="C75" s="6" t="s">
        <v>375</v>
      </c>
      <c r="D75" s="6" t="s">
        <v>376</v>
      </c>
    </row>
    <row r="77" spans="2:4" ht="15" thickBot="1">
      <c r="B77" s="116" t="s">
        <v>377</v>
      </c>
      <c r="C77" s="9"/>
    </row>
    <row r="78" spans="2:4">
      <c r="B78" s="115" t="s">
        <v>378</v>
      </c>
    </row>
    <row r="79" spans="2:4">
      <c r="B79" s="115" t="s">
        <v>379</v>
      </c>
    </row>
    <row r="82" spans="2:11" ht="18.5">
      <c r="B82" s="128" t="s">
        <v>380</v>
      </c>
    </row>
    <row r="83" spans="2:11">
      <c r="B83" s="127" t="s">
        <v>381</v>
      </c>
      <c r="E83" s="10"/>
      <c r="F83" s="10"/>
      <c r="G83" s="10"/>
      <c r="H83" s="10"/>
      <c r="I83" s="10"/>
      <c r="J83" s="10"/>
      <c r="K83" s="10"/>
    </row>
    <row r="84" spans="2:11" ht="17" thickBot="1">
      <c r="B84" s="5" t="s">
        <v>382</v>
      </c>
      <c r="C84" s="5" t="s">
        <v>383</v>
      </c>
      <c r="D84" s="5" t="s">
        <v>384</v>
      </c>
      <c r="E84" s="10"/>
      <c r="F84" s="10"/>
      <c r="G84" s="10"/>
      <c r="H84" s="10"/>
      <c r="I84" s="10"/>
      <c r="J84" s="10"/>
      <c r="K84" s="10"/>
    </row>
    <row r="85" spans="2:11" ht="17" thickTop="1">
      <c r="B85" s="137" t="s">
        <v>385</v>
      </c>
      <c r="C85" s="137">
        <v>1</v>
      </c>
      <c r="D85" s="137" t="s">
        <v>386</v>
      </c>
      <c r="E85" s="10"/>
      <c r="F85" s="10"/>
      <c r="G85" s="10"/>
      <c r="H85" s="10"/>
      <c r="I85" s="10"/>
      <c r="J85" s="10"/>
      <c r="K85" s="10"/>
    </row>
    <row r="86" spans="2:11" ht="16.5">
      <c r="B86" s="137" t="s">
        <v>387</v>
      </c>
      <c r="C86" s="137">
        <v>28</v>
      </c>
      <c r="D86" s="137" t="s">
        <v>386</v>
      </c>
      <c r="E86" s="10"/>
      <c r="F86" s="10"/>
      <c r="G86" s="10"/>
      <c r="H86" s="10"/>
      <c r="I86" s="10"/>
      <c r="J86" s="10"/>
      <c r="K86" s="10"/>
    </row>
    <row r="87" spans="2:11" ht="16.5">
      <c r="B87" s="137" t="s">
        <v>388</v>
      </c>
      <c r="C87" s="137">
        <v>265</v>
      </c>
      <c r="D87" s="137" t="s">
        <v>386</v>
      </c>
    </row>
    <row r="88" spans="2:11" ht="16.5">
      <c r="B88" s="137" t="s">
        <v>389</v>
      </c>
      <c r="C88" s="137">
        <v>23500</v>
      </c>
      <c r="D88" s="137" t="s">
        <v>386</v>
      </c>
    </row>
    <row r="89" spans="2:11">
      <c r="B89" s="137" t="s">
        <v>390</v>
      </c>
      <c r="C89" s="137">
        <v>12400</v>
      </c>
      <c r="D89" s="137" t="s">
        <v>386</v>
      </c>
    </row>
    <row r="90" spans="2:11">
      <c r="B90" s="137" t="s">
        <v>391</v>
      </c>
      <c r="C90" s="137">
        <v>677</v>
      </c>
      <c r="D90" s="137" t="s">
        <v>386</v>
      </c>
    </row>
    <row r="91" spans="2:11">
      <c r="B91" s="137" t="s">
        <v>392</v>
      </c>
      <c r="C91" s="137">
        <v>116</v>
      </c>
      <c r="D91" s="137" t="s">
        <v>386</v>
      </c>
    </row>
    <row r="92" spans="2:11">
      <c r="B92" s="137" t="s">
        <v>393</v>
      </c>
      <c r="C92" s="137">
        <v>3170</v>
      </c>
      <c r="D92" s="137" t="s">
        <v>386</v>
      </c>
    </row>
    <row r="93" spans="2:11">
      <c r="B93" s="137" t="s">
        <v>394</v>
      </c>
      <c r="C93" s="137">
        <v>1120</v>
      </c>
      <c r="D93" s="137" t="s">
        <v>386</v>
      </c>
    </row>
    <row r="94" spans="2:11">
      <c r="B94" s="137" t="s">
        <v>395</v>
      </c>
      <c r="C94" s="137">
        <v>1300</v>
      </c>
      <c r="D94" s="137" t="s">
        <v>386</v>
      </c>
    </row>
    <row r="95" spans="2:11">
      <c r="B95" s="137" t="s">
        <v>396</v>
      </c>
      <c r="C95" s="137">
        <v>328</v>
      </c>
      <c r="D95" s="137" t="s">
        <v>386</v>
      </c>
    </row>
    <row r="96" spans="2:11">
      <c r="B96" s="137" t="s">
        <v>397</v>
      </c>
      <c r="C96" s="137">
        <v>4800</v>
      </c>
      <c r="D96" s="137" t="s">
        <v>386</v>
      </c>
    </row>
    <row r="97" spans="2:4">
      <c r="B97" s="137" t="s">
        <v>398</v>
      </c>
      <c r="C97" s="137">
        <v>16</v>
      </c>
      <c r="D97" s="137" t="s">
        <v>386</v>
      </c>
    </row>
    <row r="98" spans="2:4">
      <c r="B98" s="137" t="s">
        <v>399</v>
      </c>
      <c r="C98" s="137">
        <v>138</v>
      </c>
      <c r="D98" s="137" t="s">
        <v>386</v>
      </c>
    </row>
    <row r="99" spans="2:4">
      <c r="B99" s="137" t="s">
        <v>400</v>
      </c>
      <c r="C99" s="137">
        <v>4</v>
      </c>
      <c r="D99" s="137" t="s">
        <v>386</v>
      </c>
    </row>
    <row r="100" spans="2:4">
      <c r="B100" s="137" t="s">
        <v>401</v>
      </c>
      <c r="C100" s="137">
        <v>3350</v>
      </c>
      <c r="D100" s="137" t="s">
        <v>386</v>
      </c>
    </row>
    <row r="101" spans="2:4">
      <c r="B101" s="137" t="s">
        <v>402</v>
      </c>
      <c r="C101" s="137">
        <v>1210</v>
      </c>
      <c r="D101" s="137" t="s">
        <v>386</v>
      </c>
    </row>
    <row r="102" spans="2:4">
      <c r="B102" s="137" t="s">
        <v>403</v>
      </c>
      <c r="C102" s="137">
        <v>1330</v>
      </c>
      <c r="D102" s="137" t="s">
        <v>386</v>
      </c>
    </row>
    <row r="103" spans="2:4">
      <c r="B103" s="137" t="s">
        <v>404</v>
      </c>
      <c r="C103" s="137">
        <v>8060</v>
      </c>
      <c r="D103" s="137" t="s">
        <v>386</v>
      </c>
    </row>
    <row r="104" spans="2:4">
      <c r="B104" s="137" t="s">
        <v>405</v>
      </c>
      <c r="C104" s="137">
        <v>716</v>
      </c>
      <c r="D104" s="137" t="s">
        <v>386</v>
      </c>
    </row>
    <row r="105" spans="2:4">
      <c r="B105" s="137" t="s">
        <v>406</v>
      </c>
      <c r="C105" s="137">
        <v>858</v>
      </c>
      <c r="D105" s="137" t="s">
        <v>386</v>
      </c>
    </row>
    <row r="106" spans="2:4">
      <c r="B106" s="137" t="s">
        <v>407</v>
      </c>
      <c r="C106" s="137">
        <v>804</v>
      </c>
      <c r="D106" s="137" t="s">
        <v>386</v>
      </c>
    </row>
    <row r="107" spans="2:4">
      <c r="B107" s="137" t="s">
        <v>408</v>
      </c>
      <c r="C107" s="137">
        <v>1650</v>
      </c>
      <c r="D107" s="137" t="s">
        <v>386</v>
      </c>
    </row>
    <row r="110" spans="2:4" ht="18.5">
      <c r="B110" s="128" t="s">
        <v>409</v>
      </c>
    </row>
    <row r="111" spans="2:4" ht="17" thickBot="1">
      <c r="B111" s="5" t="s">
        <v>410</v>
      </c>
      <c r="C111" s="378" t="s">
        <v>411</v>
      </c>
      <c r="D111" s="378" t="s">
        <v>384</v>
      </c>
    </row>
    <row r="112" spans="2:4" ht="15" thickTop="1">
      <c r="B112" s="379" t="s">
        <v>412</v>
      </c>
      <c r="C112" s="379">
        <v>12</v>
      </c>
      <c r="D112" s="4" t="s">
        <v>1310</v>
      </c>
    </row>
    <row r="113" spans="2:27">
      <c r="B113" s="379" t="s">
        <v>413</v>
      </c>
      <c r="C113" s="379">
        <v>13</v>
      </c>
      <c r="D113" s="4" t="s">
        <v>1310</v>
      </c>
    </row>
    <row r="114" spans="2:27">
      <c r="B114" s="379" t="s">
        <v>414</v>
      </c>
      <c r="C114" s="379">
        <v>55</v>
      </c>
      <c r="D114" s="4" t="s">
        <v>1310</v>
      </c>
    </row>
    <row r="115" spans="2:27">
      <c r="B115" s="379" t="s">
        <v>415</v>
      </c>
      <c r="C115" s="379">
        <v>0</v>
      </c>
      <c r="D115" s="4" t="s">
        <v>1310</v>
      </c>
    </row>
    <row r="116" spans="2:27">
      <c r="B116" s="379" t="s">
        <v>416</v>
      </c>
      <c r="C116" s="379">
        <v>0</v>
      </c>
      <c r="D116" s="4" t="s">
        <v>1310</v>
      </c>
    </row>
    <row r="118" spans="2:27" ht="18.5">
      <c r="B118" s="380" t="s">
        <v>417</v>
      </c>
    </row>
    <row r="119" spans="2:27" ht="44" thickBot="1">
      <c r="B119" s="5" t="s">
        <v>418</v>
      </c>
      <c r="C119" s="378" t="s">
        <v>419</v>
      </c>
      <c r="D119" s="5" t="s">
        <v>420</v>
      </c>
      <c r="E119" s="5" t="s">
        <v>421</v>
      </c>
      <c r="F119" s="5" t="s">
        <v>422</v>
      </c>
      <c r="G119" s="5" t="s">
        <v>423</v>
      </c>
      <c r="H119" s="5" t="s">
        <v>424</v>
      </c>
      <c r="I119" s="5" t="s">
        <v>425</v>
      </c>
      <c r="J119" s="5" t="s">
        <v>426</v>
      </c>
      <c r="K119" s="5" t="s">
        <v>427</v>
      </c>
      <c r="L119" s="5" t="s">
        <v>428</v>
      </c>
      <c r="M119" s="5" t="s">
        <v>429</v>
      </c>
      <c r="N119" s="5" t="s">
        <v>430</v>
      </c>
      <c r="O119" s="5" t="s">
        <v>431</v>
      </c>
      <c r="P119" s="5" t="s">
        <v>432</v>
      </c>
      <c r="Q119" s="5" t="s">
        <v>433</v>
      </c>
      <c r="R119" s="5" t="s">
        <v>434</v>
      </c>
      <c r="S119" s="5" t="s">
        <v>435</v>
      </c>
      <c r="T119" s="5" t="s">
        <v>436</v>
      </c>
      <c r="U119" s="5" t="s">
        <v>437</v>
      </c>
      <c r="V119" s="378" t="s">
        <v>438</v>
      </c>
      <c r="W119" s="378" t="s">
        <v>439</v>
      </c>
      <c r="X119" s="378" t="s">
        <v>440</v>
      </c>
      <c r="Y119" s="378" t="s">
        <v>247</v>
      </c>
      <c r="Z119" s="378" t="s">
        <v>36</v>
      </c>
      <c r="AA119" s="378" t="s">
        <v>441</v>
      </c>
    </row>
    <row r="120" spans="2:27" ht="15" thickTop="1">
      <c r="B120" s="4" t="s">
        <v>442</v>
      </c>
      <c r="C120" s="4" t="s">
        <v>193</v>
      </c>
      <c r="D120" s="4" t="s">
        <v>443</v>
      </c>
      <c r="E120" s="4" t="s">
        <v>444</v>
      </c>
      <c r="F120" s="4" t="s">
        <v>445</v>
      </c>
      <c r="G120" s="4" t="s">
        <v>446</v>
      </c>
      <c r="H120" s="4" t="s">
        <v>447</v>
      </c>
      <c r="I120" s="4" t="s">
        <v>448</v>
      </c>
      <c r="J120" s="4" t="s">
        <v>449</v>
      </c>
      <c r="K120" s="4" t="s">
        <v>450</v>
      </c>
      <c r="L120" s="4" t="s">
        <v>451</v>
      </c>
      <c r="M120" s="4" t="s">
        <v>452</v>
      </c>
      <c r="N120" s="4" t="s">
        <v>453</v>
      </c>
      <c r="O120" s="4" t="s">
        <v>454</v>
      </c>
      <c r="P120" s="4" t="s">
        <v>455</v>
      </c>
      <c r="Q120" s="4" t="s">
        <v>456</v>
      </c>
      <c r="R120" s="4" t="s">
        <v>445</v>
      </c>
      <c r="S120" s="4" t="s">
        <v>445</v>
      </c>
      <c r="T120" s="4" t="s">
        <v>412</v>
      </c>
      <c r="U120" s="4">
        <v>2023</v>
      </c>
      <c r="V120" s="4" t="s">
        <v>457</v>
      </c>
      <c r="W120" s="4" t="s">
        <v>458</v>
      </c>
      <c r="X120" s="4" t="s">
        <v>453</v>
      </c>
      <c r="Y120" s="4" t="s">
        <v>250</v>
      </c>
      <c r="Z120" s="4" t="s">
        <v>459</v>
      </c>
      <c r="AA120" s="4" t="s">
        <v>460</v>
      </c>
    </row>
    <row r="121" spans="2:27">
      <c r="B121" s="4" t="s">
        <v>461</v>
      </c>
      <c r="C121" s="4" t="s">
        <v>462</v>
      </c>
      <c r="D121" s="4" t="s">
        <v>463</v>
      </c>
      <c r="E121" s="4" t="s">
        <v>464</v>
      </c>
      <c r="F121" s="4" t="s">
        <v>465</v>
      </c>
      <c r="G121" s="4" t="s">
        <v>466</v>
      </c>
      <c r="H121" s="4" t="s">
        <v>467</v>
      </c>
      <c r="I121" s="4" t="s">
        <v>468</v>
      </c>
      <c r="J121" s="4" t="s">
        <v>469</v>
      </c>
      <c r="K121" s="4" t="s">
        <v>470</v>
      </c>
      <c r="L121" s="4" t="s">
        <v>471</v>
      </c>
      <c r="M121" s="4" t="s">
        <v>472</v>
      </c>
      <c r="N121" s="4" t="s">
        <v>463</v>
      </c>
      <c r="O121" s="4" t="s">
        <v>473</v>
      </c>
      <c r="P121" s="4" t="s">
        <v>173</v>
      </c>
      <c r="Q121" s="4" t="s">
        <v>474</v>
      </c>
      <c r="R121" s="4" t="s">
        <v>465</v>
      </c>
      <c r="S121" s="4" t="s">
        <v>475</v>
      </c>
      <c r="T121" s="4" t="s">
        <v>413</v>
      </c>
      <c r="U121" s="4">
        <v>2024</v>
      </c>
      <c r="V121" s="4" t="s">
        <v>476</v>
      </c>
      <c r="W121" s="4" t="s">
        <v>477</v>
      </c>
      <c r="X121" s="4" t="s">
        <v>463</v>
      </c>
      <c r="Y121" s="4" t="s">
        <v>478</v>
      </c>
      <c r="Z121" s="4" t="s">
        <v>479</v>
      </c>
      <c r="AA121" s="4" t="s">
        <v>480</v>
      </c>
    </row>
    <row r="122" spans="2:27">
      <c r="B122" s="4" t="s">
        <v>481</v>
      </c>
      <c r="C122" s="4" t="s">
        <v>482</v>
      </c>
      <c r="F122" s="4" t="s">
        <v>475</v>
      </c>
      <c r="G122" s="4" t="s">
        <v>483</v>
      </c>
      <c r="H122" s="4" t="s">
        <v>484</v>
      </c>
      <c r="I122" s="4" t="s">
        <v>485</v>
      </c>
      <c r="J122" s="4" t="s">
        <v>193</v>
      </c>
      <c r="K122" s="4" t="s">
        <v>486</v>
      </c>
      <c r="L122" s="4" t="s">
        <v>487</v>
      </c>
      <c r="M122" s="4" t="s">
        <v>486</v>
      </c>
      <c r="N122" s="4" t="s">
        <v>486</v>
      </c>
      <c r="O122" s="4" t="s">
        <v>488</v>
      </c>
      <c r="P122" s="4" t="s">
        <v>489</v>
      </c>
      <c r="Q122" s="4" t="s">
        <v>490</v>
      </c>
      <c r="T122" s="4" t="s">
        <v>414</v>
      </c>
      <c r="U122" s="4">
        <v>2025</v>
      </c>
      <c r="W122" s="4" t="s">
        <v>193</v>
      </c>
      <c r="Y122" s="4" t="s">
        <v>251</v>
      </c>
      <c r="AA122" s="4" t="s">
        <v>491</v>
      </c>
    </row>
    <row r="123" spans="2:27">
      <c r="B123" s="4" t="s">
        <v>492</v>
      </c>
      <c r="C123" s="4" t="s">
        <v>493</v>
      </c>
      <c r="G123" s="4" t="s">
        <v>193</v>
      </c>
      <c r="H123" s="4" t="s">
        <v>494</v>
      </c>
      <c r="I123" s="4" t="s">
        <v>193</v>
      </c>
      <c r="J123" s="4" t="s">
        <v>486</v>
      </c>
      <c r="L123" s="4" t="s">
        <v>495</v>
      </c>
      <c r="O123" s="4" t="s">
        <v>496</v>
      </c>
      <c r="P123" s="4" t="s">
        <v>193</v>
      </c>
      <c r="Q123" s="4" t="s">
        <v>475</v>
      </c>
      <c r="T123" s="4" t="s">
        <v>415</v>
      </c>
      <c r="U123" s="4">
        <v>2026</v>
      </c>
    </row>
    <row r="124" spans="2:27">
      <c r="B124" s="4" t="s">
        <v>497</v>
      </c>
      <c r="C124" s="4" t="s">
        <v>492</v>
      </c>
      <c r="G124" s="4" t="s">
        <v>486</v>
      </c>
      <c r="H124" s="4" t="s">
        <v>486</v>
      </c>
      <c r="I124" s="4" t="s">
        <v>486</v>
      </c>
      <c r="L124" s="4" t="s">
        <v>498</v>
      </c>
      <c r="O124" s="4" t="s">
        <v>193</v>
      </c>
      <c r="P124" s="4" t="s">
        <v>499</v>
      </c>
      <c r="Q124" s="4" t="s">
        <v>193</v>
      </c>
      <c r="T124" s="4" t="s">
        <v>416</v>
      </c>
      <c r="U124" s="4">
        <v>2027</v>
      </c>
    </row>
    <row r="125" spans="2:27">
      <c r="B125" s="4" t="s">
        <v>493</v>
      </c>
      <c r="C125" s="4" t="s">
        <v>497</v>
      </c>
      <c r="L125" s="4" t="s">
        <v>500</v>
      </c>
      <c r="O125" s="4" t="s">
        <v>486</v>
      </c>
      <c r="P125" s="4" t="s">
        <v>486</v>
      </c>
      <c r="Q125" s="4" t="s">
        <v>486</v>
      </c>
      <c r="T125" s="4" t="s">
        <v>486</v>
      </c>
      <c r="U125" s="4">
        <v>2028</v>
      </c>
    </row>
    <row r="126" spans="2:27">
      <c r="B126" s="4" t="s">
        <v>501</v>
      </c>
      <c r="C126" s="4" t="s">
        <v>502</v>
      </c>
      <c r="L126" s="4" t="s">
        <v>503</v>
      </c>
      <c r="U126" s="4">
        <v>2029</v>
      </c>
    </row>
    <row r="127" spans="2:27">
      <c r="B127" s="4" t="s">
        <v>504</v>
      </c>
      <c r="C127" s="4" t="s">
        <v>505</v>
      </c>
      <c r="L127" s="4" t="s">
        <v>506</v>
      </c>
      <c r="U127" s="4">
        <v>2030</v>
      </c>
    </row>
    <row r="128" spans="2:27">
      <c r="B128" s="4" t="s">
        <v>462</v>
      </c>
      <c r="C128" s="4" t="s">
        <v>507</v>
      </c>
      <c r="L128" s="4" t="s">
        <v>508</v>
      </c>
      <c r="U128" s="4">
        <v>2031</v>
      </c>
    </row>
    <row r="129" spans="2:21">
      <c r="B129" s="4" t="s">
        <v>482</v>
      </c>
      <c r="L129" s="4" t="s">
        <v>509</v>
      </c>
      <c r="U129" s="4">
        <v>2032</v>
      </c>
    </row>
    <row r="130" spans="2:21">
      <c r="B130" s="4" t="s">
        <v>507</v>
      </c>
      <c r="L130" s="4" t="s">
        <v>510</v>
      </c>
      <c r="U130" s="4">
        <v>2033</v>
      </c>
    </row>
    <row r="131" spans="2:21">
      <c r="B131" s="4" t="s">
        <v>502</v>
      </c>
      <c r="L131" s="4" t="s">
        <v>511</v>
      </c>
      <c r="U131" s="4">
        <v>2034</v>
      </c>
    </row>
    <row r="132" spans="2:21">
      <c r="B132" s="4" t="s">
        <v>505</v>
      </c>
      <c r="L132" s="4" t="s">
        <v>512</v>
      </c>
      <c r="U132" s="4">
        <v>2035</v>
      </c>
    </row>
    <row r="133" spans="2:21">
      <c r="B133" s="4" t="s">
        <v>513</v>
      </c>
      <c r="U133" s="4">
        <v>2036</v>
      </c>
    </row>
    <row r="134" spans="2:21">
      <c r="B134" s="4" t="s">
        <v>514</v>
      </c>
      <c r="U134" s="4">
        <v>2037</v>
      </c>
    </row>
    <row r="135" spans="2:21">
      <c r="B135" s="4" t="s">
        <v>515</v>
      </c>
      <c r="U135" s="4">
        <v>2038</v>
      </c>
    </row>
    <row r="136" spans="2:21">
      <c r="B136" s="4" t="s">
        <v>516</v>
      </c>
      <c r="U136" s="4">
        <v>2039</v>
      </c>
    </row>
    <row r="137" spans="2:21">
      <c r="B137" s="4" t="s">
        <v>454</v>
      </c>
      <c r="U137" s="4">
        <v>2040</v>
      </c>
    </row>
    <row r="138" spans="2:21">
      <c r="B138" s="4" t="s">
        <v>473</v>
      </c>
      <c r="U138" s="4">
        <v>2041</v>
      </c>
    </row>
    <row r="139" spans="2:21">
      <c r="B139" s="4" t="s">
        <v>193</v>
      </c>
      <c r="U139" s="4">
        <v>2042</v>
      </c>
    </row>
    <row r="140" spans="2:21">
      <c r="C140" s="615"/>
      <c r="U140" s="4">
        <v>2043</v>
      </c>
    </row>
    <row r="141" spans="2:21">
      <c r="C141" s="615"/>
      <c r="U141" s="4">
        <v>2044</v>
      </c>
    </row>
    <row r="142" spans="2:21">
      <c r="C142" s="615"/>
      <c r="U142" s="4">
        <v>2045</v>
      </c>
    </row>
    <row r="143" spans="2:21" ht="18.5">
      <c r="B143" s="132" t="s">
        <v>517</v>
      </c>
      <c r="U143" s="4">
        <v>2046</v>
      </c>
    </row>
    <row r="144" spans="2:21">
      <c r="B144" s="131" t="s">
        <v>457</v>
      </c>
      <c r="U144" s="4">
        <v>2047</v>
      </c>
    </row>
    <row r="145" spans="2:21">
      <c r="U145" s="4">
        <v>2048</v>
      </c>
    </row>
    <row r="146" spans="2:21">
      <c r="U146" s="4">
        <v>2049</v>
      </c>
    </row>
    <row r="147" spans="2:21">
      <c r="U147" s="4">
        <v>2050</v>
      </c>
    </row>
    <row r="148" spans="2:21" ht="15" thickBot="1">
      <c r="B148" s="632" t="s">
        <v>1314</v>
      </c>
      <c r="C148" s="632" t="s">
        <v>1313</v>
      </c>
      <c r="D148" s="632" t="s">
        <v>1315</v>
      </c>
      <c r="E148" s="632" t="s">
        <v>1316</v>
      </c>
    </row>
    <row r="149" spans="2:21" ht="15" thickTop="1">
      <c r="B149" s="630" t="str" cm="1">
        <f t="array" ref="B149:B152">IF(OR(OR(Path=$C$120:$C$122),AND(OR(Path=$B$135:$B$138),Initial_questions!$E$111="No")),Proj,IF(OR(OR(Path=$C$123:$C$128),AND(OR(Path=$B$133:$B$134),Initial_questions!$E$111="No"),AND(OR(Path=$B$126:$B$127),OR(Initial_questions!$E$73=$H$121:$H$123))),Proj_or_mix,Data))</f>
        <v>Projected</v>
      </c>
      <c r="C149" s="630" t="str" cm="1">
        <f t="array" ref="C149:C151">IF(Initial_questions!$E$112="Default",Def,IF(OR(Path=B$120:B$125),$N$122, IF(OR(Initial_questions!$E$112="Projected",Path=B$129:B$132,AND(OR(Path=$B$126:$B$127),OR(Initial_questions!$E$73=$H$121:$H$123)),AND(OR(Path=B$133:B$138),Initial_questions!$E$111="No")),Proj,Proj_or_def)))</f>
        <v>Projected</v>
      </c>
      <c r="D149" s="630" t="str" cm="1">
        <f t="array" ref="D149:D151">IF(Initial_questions!$E$112="Default",Def, IF(OR(Initial_questions!$E$112="Projected",OR(Path=$B$123:$B$124), AND(Path=$B$125, Initial_questions!$E$38&gt;0)), Proj,Proj_or_def))</f>
        <v>Projected</v>
      </c>
      <c r="E149" s="630" t="str" cm="1">
        <f t="array" ref="E149:E151">IF(Initial_questions!$E$112="Default",Def, IF(Initial_questions!$E$112="Projected",Proj,Proj_or_def))</f>
        <v>Projected</v>
      </c>
    </row>
    <row r="150" spans="2:21">
      <c r="B150" s="630" t="str">
        <v>Default</v>
      </c>
      <c r="C150" s="630" t="str">
        <v>Default</v>
      </c>
      <c r="D150" s="630" t="str">
        <v>Default</v>
      </c>
      <c r="E150" s="630" t="str">
        <v>Default</v>
      </c>
    </row>
    <row r="151" spans="2:21">
      <c r="B151" s="630" t="str">
        <v>Mixed</v>
      </c>
      <c r="C151" s="630">
        <v>0</v>
      </c>
      <c r="D151" s="630">
        <v>0</v>
      </c>
      <c r="E151" s="630">
        <v>0</v>
      </c>
    </row>
    <row r="152" spans="2:21">
      <c r="B152" s="630">
        <v>0</v>
      </c>
      <c r="C152" s="631"/>
      <c r="D152" s="631"/>
      <c r="E152" s="631"/>
    </row>
  </sheetData>
  <customSheetViews>
    <customSheetView guid="{2D920366-22B2-4182-A65D-0EDBE614FB37}" showGridLines="0">
      <pageMargins left="0" right="0" top="0" bottom="0" header="0" footer="0"/>
      <pageSetup paperSize="9" orientation="portrait" r:id="rId1"/>
    </customSheetView>
    <customSheetView guid="{F468A2FD-7987-4A9D-8BAE-1AACE523607F}" showGridLines="0">
      <selection activeCell="D1" sqref="D1"/>
      <pageMargins left="0" right="0" top="0" bottom="0" header="0" footer="0"/>
      <pageSetup paperSize="9" orientation="portrait" r:id="rId2"/>
    </customSheetView>
    <customSheetView guid="{D97B1299-69D0-4EE0-B673-CCF74742F96B}" topLeftCell="A115">
      <selection activeCell="B129" sqref="B129"/>
      <pageMargins left="0" right="0" top="0" bottom="0" header="0" footer="0"/>
      <pageSetup paperSize="9" orientation="portrait" r:id="rId3"/>
    </customSheetView>
    <customSheetView guid="{3F0A4FBA-5323-448F-A023-B3E14C54064C}" showGridLines="0" topLeftCell="A115">
      <selection activeCell="D2" sqref="D2"/>
      <pageMargins left="0" right="0" top="0" bottom="0" header="0" footer="0"/>
      <pageSetup paperSize="9" orientation="portrait" r:id="rId4"/>
    </customSheetView>
    <customSheetView guid="{E6EFD927-84B2-4D06-BB59-59D9DF522DA2}" showGridLines="0">
      <selection activeCell="D1" sqref="D1"/>
      <pageMargins left="0" right="0" top="0" bottom="0" header="0" footer="0"/>
      <pageSetup paperSize="9" orientation="portrait" r:id="rId5"/>
    </customSheetView>
    <customSheetView guid="{0E935136-9A80-44B6-88D5-61E64D742049}" showGridLines="0">
      <selection activeCell="D1" sqref="D1"/>
      <pageMargins left="0" right="0" top="0" bottom="0" header="0" footer="0"/>
      <pageSetup paperSize="9" orientation="portrait" r:id="rId6"/>
    </customSheetView>
    <customSheetView guid="{1C16EB38-F785-4168-9938-104594734038}" showGridLines="0">
      <selection activeCell="D1" sqref="D1"/>
      <pageMargins left="0" right="0" top="0" bottom="0" header="0" footer="0"/>
      <pageSetup paperSize="9" orientation="portrait" r:id="rId7"/>
    </customSheetView>
    <customSheetView guid="{EECBF9DF-6D77-4263-85DA-71E40216BADD}" showGridLines="0">
      <selection activeCell="D1" sqref="D1"/>
      <pageMargins left="0" right="0" top="0" bottom="0" header="0" footer="0"/>
      <pageSetup paperSize="9" orientation="portrait" r:id="rId8"/>
    </customSheetView>
    <customSheetView guid="{F03309BC-D3FA-4CF2-833B-D6D9A95FE1FB}" showGridLines="0" topLeftCell="A115">
      <selection activeCell="D2" sqref="D2"/>
      <pageMargins left="0" right="0" top="0" bottom="0" header="0" footer="0"/>
      <pageSetup paperSize="9" orientation="portrait" r:id="rId9"/>
    </customSheetView>
  </customSheetViews>
  <dataValidations count="1">
    <dataValidation type="list" allowBlank="1" showInputMessage="1" showErrorMessage="1" sqref="B144" xr:uid="{3601247B-6B63-499F-9930-16C36A292193}">
      <formula1>Switch</formula1>
    </dataValidation>
  </dataValidations>
  <pageMargins left="0" right="0" top="0" bottom="0" header="0" footer="0"/>
  <pageSetup paperSize="9" orientation="portrait" r:id="rId10"/>
  <legacyDrawing r:id="rId1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7CE75-FF2B-43E9-91B2-1B8DE2D4A3AB}">
  <sheetPr codeName="Sheet5">
    <tabColor rgb="FFC7E8FA"/>
  </sheetPr>
  <dimension ref="B2:W157"/>
  <sheetViews>
    <sheetView showGridLines="0" zoomScaleNormal="100" workbookViewId="0"/>
  </sheetViews>
  <sheetFormatPr defaultRowHeight="14.5"/>
  <cols>
    <col min="2" max="2" width="44" customWidth="1"/>
    <col min="3" max="3" width="24.54296875" customWidth="1"/>
    <col min="4" max="4" width="26.54296875" customWidth="1"/>
    <col min="5" max="5" width="24.1796875" customWidth="1"/>
    <col min="6" max="6" width="27.7265625" customWidth="1"/>
    <col min="7" max="7" width="24.453125" customWidth="1"/>
    <col min="8" max="8" width="39.54296875" customWidth="1"/>
    <col min="9" max="9" width="6.54296875" customWidth="1"/>
    <col min="10" max="10" width="25.1796875" customWidth="1"/>
    <col min="11" max="11" width="24.1796875" customWidth="1"/>
    <col min="12" max="12" width="26.81640625" customWidth="1"/>
    <col min="13" max="13" width="29.1796875" customWidth="1"/>
    <col min="14" max="14" width="27.54296875" customWidth="1"/>
    <col min="15" max="15" width="24.54296875" customWidth="1"/>
    <col min="16" max="16" width="6.453125" customWidth="1"/>
    <col min="17" max="17" width="24.1796875" customWidth="1"/>
    <col min="18" max="18" width="25.81640625" customWidth="1"/>
    <col min="19" max="19" width="26.81640625" customWidth="1"/>
    <col min="20" max="20" width="24.1796875" customWidth="1"/>
    <col min="21" max="21" width="25.1796875" customWidth="1"/>
    <col min="22" max="22" width="19.54296875" customWidth="1"/>
    <col min="23" max="23" width="5.81640625" customWidth="1"/>
    <col min="24" max="24" width="13" bestFit="1" customWidth="1"/>
    <col min="25" max="25" width="12.453125" customWidth="1"/>
    <col min="26" max="26" width="12.453125" bestFit="1" customWidth="1"/>
    <col min="27" max="27" width="13" bestFit="1" customWidth="1"/>
    <col min="29" max="29" width="25.1796875" customWidth="1"/>
    <col min="30" max="30" width="28.453125" customWidth="1"/>
    <col min="31" max="31" width="25.54296875" customWidth="1"/>
  </cols>
  <sheetData>
    <row r="2" spans="2:23" s="162" customFormat="1">
      <c r="B2" s="162" t="s">
        <v>802</v>
      </c>
    </row>
    <row r="4" spans="2:23">
      <c r="B4" s="628" t="s">
        <v>803</v>
      </c>
    </row>
    <row r="5" spans="2:23" ht="16.5">
      <c r="B5" s="628" t="s">
        <v>804</v>
      </c>
    </row>
    <row r="6" spans="2:23">
      <c r="B6" s="470" t="s">
        <v>805</v>
      </c>
    </row>
    <row r="7" spans="2:23" ht="16.5">
      <c r="B7" s="628" t="s">
        <v>806</v>
      </c>
    </row>
    <row r="8" spans="2:23" ht="16.5">
      <c r="B8" s="628" t="s">
        <v>807</v>
      </c>
    </row>
    <row r="9" spans="2:23" ht="16.5">
      <c r="B9" s="628" t="s">
        <v>808</v>
      </c>
    </row>
    <row r="10" spans="2:23" ht="16.5">
      <c r="B10" s="628" t="s">
        <v>809</v>
      </c>
    </row>
    <row r="11" spans="2:23">
      <c r="B11" s="628" t="s">
        <v>810</v>
      </c>
      <c r="C11" s="270"/>
      <c r="D11" s="270"/>
    </row>
    <row r="13" spans="2:23" ht="14.5" customHeight="1">
      <c r="B13" s="268"/>
      <c r="C13" s="269"/>
      <c r="D13" s="668" t="s">
        <v>811</v>
      </c>
      <c r="E13" s="669"/>
      <c r="F13" s="669"/>
      <c r="G13" s="669"/>
      <c r="H13" s="670"/>
    </row>
    <row r="14" spans="2:23" ht="28.75" customHeight="1">
      <c r="B14" s="286" t="s">
        <v>812</v>
      </c>
      <c r="C14" s="286" t="s">
        <v>770</v>
      </c>
      <c r="D14" s="347" t="s">
        <v>813</v>
      </c>
      <c r="E14" s="175" t="s">
        <v>814</v>
      </c>
      <c r="F14" s="175" t="s">
        <v>815</v>
      </c>
      <c r="G14" s="174" t="s">
        <v>816</v>
      </c>
      <c r="H14" s="285" t="s">
        <v>817</v>
      </c>
      <c r="I14" s="81"/>
      <c r="P14" s="81" t="s">
        <v>818</v>
      </c>
      <c r="W14" s="81" t="s">
        <v>818</v>
      </c>
    </row>
    <row r="15" spans="2:23" ht="16.5">
      <c r="B15" s="31" t="s">
        <v>819</v>
      </c>
      <c r="C15" s="31" t="s">
        <v>820</v>
      </c>
      <c r="D15" s="165">
        <v>11.806809793401893</v>
      </c>
      <c r="E15" s="290">
        <v>11.163682852537429</v>
      </c>
      <c r="F15" s="290">
        <v>4.7832654334087552</v>
      </c>
      <c r="G15" s="290">
        <v>26.749040189234083</v>
      </c>
      <c r="H15" s="166" t="s">
        <v>821</v>
      </c>
      <c r="I15" s="81"/>
      <c r="P15" s="81" t="s">
        <v>818</v>
      </c>
      <c r="W15" s="81" t="s">
        <v>818</v>
      </c>
    </row>
    <row r="16" spans="2:23" ht="16.5">
      <c r="B16" s="31" t="s">
        <v>822</v>
      </c>
      <c r="C16" s="31" t="s">
        <v>820</v>
      </c>
      <c r="D16" s="165">
        <v>11.056914251544084</v>
      </c>
      <c r="E16" s="290">
        <v>10.454634756707966</v>
      </c>
      <c r="F16" s="290">
        <v>4.2567986784801741</v>
      </c>
      <c r="G16" s="290">
        <v>28.073395304124755</v>
      </c>
      <c r="H16" s="166" t="s">
        <v>821</v>
      </c>
      <c r="I16" s="81"/>
      <c r="P16" s="81" t="s">
        <v>818</v>
      </c>
      <c r="W16" s="81" t="s">
        <v>818</v>
      </c>
    </row>
    <row r="17" spans="2:23" ht="16.5">
      <c r="B17" s="31" t="s">
        <v>823</v>
      </c>
      <c r="C17" s="31" t="s">
        <v>820</v>
      </c>
      <c r="D17" s="271" t="s">
        <v>824</v>
      </c>
      <c r="E17" s="290" t="s">
        <v>825</v>
      </c>
      <c r="F17" s="290" t="s">
        <v>825</v>
      </c>
      <c r="G17" s="290" t="s">
        <v>825</v>
      </c>
      <c r="H17" s="166" t="s">
        <v>826</v>
      </c>
      <c r="I17" s="81"/>
      <c r="P17" s="81"/>
      <c r="W17" s="81"/>
    </row>
    <row r="18" spans="2:23" ht="16.5">
      <c r="B18" s="31" t="s">
        <v>827</v>
      </c>
      <c r="C18" s="31" t="s">
        <v>820</v>
      </c>
      <c r="D18" s="271" t="s">
        <v>824</v>
      </c>
      <c r="E18" s="290" t="s">
        <v>825</v>
      </c>
      <c r="F18" s="290" t="s">
        <v>825</v>
      </c>
      <c r="G18" s="290" t="s">
        <v>825</v>
      </c>
      <c r="H18" s="166" t="s">
        <v>828</v>
      </c>
      <c r="I18" s="81"/>
      <c r="P18" s="81"/>
      <c r="W18" s="81"/>
    </row>
    <row r="19" spans="2:23" ht="16.5">
      <c r="B19" s="31" t="s">
        <v>829</v>
      </c>
      <c r="C19" s="31" t="s">
        <v>820</v>
      </c>
      <c r="D19" s="271" t="s">
        <v>824</v>
      </c>
      <c r="E19" s="290" t="s">
        <v>825</v>
      </c>
      <c r="F19" s="290" t="s">
        <v>825</v>
      </c>
      <c r="G19" s="290" t="s">
        <v>825</v>
      </c>
      <c r="H19" s="166" t="s">
        <v>1312</v>
      </c>
      <c r="I19" s="81"/>
      <c r="P19" s="81" t="s">
        <v>818</v>
      </c>
      <c r="W19" s="81" t="s">
        <v>818</v>
      </c>
    </row>
    <row r="20" spans="2:23" ht="16.5">
      <c r="B20" s="31" t="s">
        <v>831</v>
      </c>
      <c r="C20" s="31" t="s">
        <v>820</v>
      </c>
      <c r="D20" s="165">
        <v>5.1639973968714932</v>
      </c>
      <c r="E20" s="290">
        <v>3.6885695691939242</v>
      </c>
      <c r="F20" s="290">
        <v>-39.172725796762073</v>
      </c>
      <c r="G20" s="290">
        <v>31.877047680478796</v>
      </c>
      <c r="H20" s="166" t="s">
        <v>830</v>
      </c>
      <c r="I20" s="81"/>
      <c r="P20" s="81" t="s">
        <v>818</v>
      </c>
      <c r="W20" s="81" t="s">
        <v>818</v>
      </c>
    </row>
    <row r="21" spans="2:23" ht="16.5">
      <c r="B21" s="31" t="s">
        <v>832</v>
      </c>
      <c r="C21" s="31" t="s">
        <v>820</v>
      </c>
      <c r="D21" s="165">
        <v>7.9392645102823636</v>
      </c>
      <c r="E21" s="290">
        <v>5.6709032216302599</v>
      </c>
      <c r="F21" s="290">
        <v>4.9858164647444143</v>
      </c>
      <c r="G21" s="290">
        <v>8.8646650108993672</v>
      </c>
      <c r="H21" s="166" t="s">
        <v>833</v>
      </c>
      <c r="I21" s="81"/>
      <c r="P21" s="81" t="s">
        <v>818</v>
      </c>
      <c r="W21" s="81" t="s">
        <v>818</v>
      </c>
    </row>
    <row r="22" spans="2:23" ht="16.5">
      <c r="B22" s="31" t="s">
        <v>834</v>
      </c>
      <c r="C22" s="31" t="s">
        <v>820</v>
      </c>
      <c r="D22" s="165">
        <v>3.9241766901953343</v>
      </c>
      <c r="E22" s="290">
        <v>2.8029833501395247</v>
      </c>
      <c r="F22" s="290">
        <v>2.7996490890680601</v>
      </c>
      <c r="G22" s="290">
        <v>3.2518447710464304</v>
      </c>
      <c r="H22" s="166" t="s">
        <v>835</v>
      </c>
      <c r="I22" s="81"/>
      <c r="P22" s="81" t="s">
        <v>818</v>
      </c>
      <c r="W22" s="81" t="s">
        <v>818</v>
      </c>
    </row>
    <row r="23" spans="2:23" ht="16.5">
      <c r="B23" s="31" t="s">
        <v>836</v>
      </c>
      <c r="C23" s="31" t="s">
        <v>820</v>
      </c>
      <c r="D23" s="165">
        <v>3.9241766901953343</v>
      </c>
      <c r="E23" s="290">
        <v>2.8029833501395247</v>
      </c>
      <c r="F23" s="290">
        <v>2.7996490890680601</v>
      </c>
      <c r="G23" s="290">
        <v>3.2518447710464304</v>
      </c>
      <c r="H23" s="166" t="s">
        <v>835</v>
      </c>
      <c r="I23" s="81"/>
      <c r="P23" s="81" t="s">
        <v>818</v>
      </c>
      <c r="W23" s="81" t="s">
        <v>818</v>
      </c>
    </row>
    <row r="24" spans="2:23" ht="16.5">
      <c r="B24" s="31" t="s">
        <v>837</v>
      </c>
      <c r="C24" s="31" t="s">
        <v>820</v>
      </c>
      <c r="D24" s="165"/>
      <c r="E24" s="290"/>
      <c r="F24" s="290"/>
      <c r="G24" s="290"/>
      <c r="H24" s="166" t="s">
        <v>838</v>
      </c>
      <c r="I24" s="81"/>
      <c r="P24" s="81" t="s">
        <v>818</v>
      </c>
      <c r="W24" s="81" t="s">
        <v>818</v>
      </c>
    </row>
    <row r="25" spans="2:23" ht="16.5">
      <c r="B25" s="31" t="s">
        <v>839</v>
      </c>
      <c r="C25" s="31" t="s">
        <v>820</v>
      </c>
      <c r="D25" s="165"/>
      <c r="E25" s="290"/>
      <c r="F25" s="290"/>
      <c r="G25" s="290"/>
      <c r="H25" s="166" t="s">
        <v>840</v>
      </c>
      <c r="I25" s="81"/>
      <c r="P25" s="81" t="s">
        <v>818</v>
      </c>
      <c r="W25" s="81" t="s">
        <v>818</v>
      </c>
    </row>
    <row r="26" spans="2:23" ht="16.5">
      <c r="B26" s="31" t="s">
        <v>841</v>
      </c>
      <c r="C26" s="31" t="s">
        <v>820</v>
      </c>
      <c r="D26" s="165"/>
      <c r="E26" s="290"/>
      <c r="F26" s="290"/>
      <c r="G26" s="290"/>
      <c r="H26" s="166" t="s">
        <v>842</v>
      </c>
      <c r="I26" s="81"/>
      <c r="P26" s="81" t="s">
        <v>818</v>
      </c>
      <c r="W26" s="81" t="s">
        <v>818</v>
      </c>
    </row>
    <row r="27" spans="2:23">
      <c r="D27" s="138"/>
      <c r="E27" s="117"/>
    </row>
    <row r="28" spans="2:23">
      <c r="D28" s="138"/>
      <c r="E28" s="117"/>
    </row>
    <row r="29" spans="2:23" ht="14.5" customHeight="1">
      <c r="B29" s="268"/>
      <c r="C29" s="269"/>
      <c r="D29" s="668" t="s">
        <v>843</v>
      </c>
      <c r="E29" s="669"/>
      <c r="F29" s="669"/>
      <c r="G29" s="669"/>
      <c r="H29" s="670"/>
    </row>
    <row r="30" spans="2:23" ht="28.75" customHeight="1">
      <c r="B30" s="286" t="s">
        <v>812</v>
      </c>
      <c r="C30" s="286" t="s">
        <v>770</v>
      </c>
      <c r="D30" s="347" t="s">
        <v>813</v>
      </c>
      <c r="E30" s="175" t="s">
        <v>814</v>
      </c>
      <c r="F30" s="175" t="s">
        <v>815</v>
      </c>
      <c r="G30" s="174" t="s">
        <v>816</v>
      </c>
      <c r="H30" s="285" t="s">
        <v>817</v>
      </c>
    </row>
    <row r="31" spans="2:23" ht="16.5">
      <c r="B31" s="31" t="s">
        <v>819</v>
      </c>
      <c r="C31" s="31" t="s">
        <v>820</v>
      </c>
      <c r="D31" s="165">
        <v>0.74422107813297778</v>
      </c>
      <c r="E31" s="290">
        <v>0.53158648438069844</v>
      </c>
      <c r="F31" s="290">
        <v>0.52598200436306597</v>
      </c>
      <c r="G31" s="290">
        <v>0.53719096439833114</v>
      </c>
      <c r="H31" s="166" t="s">
        <v>844</v>
      </c>
    </row>
    <row r="32" spans="2:23" ht="16.5">
      <c r="B32" s="31" t="s">
        <v>822</v>
      </c>
      <c r="C32" s="31" t="s">
        <v>820</v>
      </c>
      <c r="D32" s="165">
        <v>4.15782511812343</v>
      </c>
      <c r="E32" s="290">
        <v>2.9698750843738786</v>
      </c>
      <c r="F32" s="290">
        <v>2.243954977644846</v>
      </c>
      <c r="G32" s="290">
        <v>0.55149659630332482</v>
      </c>
      <c r="H32" s="166" t="s">
        <v>845</v>
      </c>
    </row>
    <row r="33" spans="2:11" ht="16.5">
      <c r="B33" s="31" t="s">
        <v>823</v>
      </c>
      <c r="C33" s="31" t="s">
        <v>820</v>
      </c>
      <c r="D33" s="271" t="s">
        <v>824</v>
      </c>
      <c r="E33" s="290" t="s">
        <v>825</v>
      </c>
      <c r="F33" s="290" t="s">
        <v>825</v>
      </c>
      <c r="G33" s="290" t="s">
        <v>825</v>
      </c>
      <c r="H33" s="166" t="s">
        <v>826</v>
      </c>
    </row>
    <row r="34" spans="2:11" ht="16.5">
      <c r="B34" s="31" t="s">
        <v>827</v>
      </c>
      <c r="C34" s="31" t="s">
        <v>820</v>
      </c>
      <c r="D34" s="535">
        <f>D32</f>
        <v>4.15782511812343</v>
      </c>
      <c r="E34" s="290" t="s">
        <v>825</v>
      </c>
      <c r="F34" s="290" t="s">
        <v>825</v>
      </c>
      <c r="G34" s="290" t="s">
        <v>825</v>
      </c>
      <c r="H34" s="166" t="s">
        <v>846</v>
      </c>
    </row>
    <row r="35" spans="2:11" ht="16.5">
      <c r="B35" s="31" t="s">
        <v>829</v>
      </c>
      <c r="C35" s="31" t="s">
        <v>820</v>
      </c>
      <c r="D35" s="535">
        <v>0.74422107813297778</v>
      </c>
      <c r="E35" s="290">
        <v>0.53158648438069844</v>
      </c>
      <c r="F35" s="290">
        <v>0.52598200436306597</v>
      </c>
      <c r="G35" s="290">
        <v>0.53719096439833114</v>
      </c>
      <c r="H35" s="167" t="s">
        <v>847</v>
      </c>
    </row>
    <row r="36" spans="2:11" ht="16.5">
      <c r="B36" s="31" t="s">
        <v>831</v>
      </c>
      <c r="C36" s="31" t="s">
        <v>820</v>
      </c>
      <c r="D36" s="165">
        <v>4.1578212403597048</v>
      </c>
      <c r="E36" s="290">
        <v>2.9698723145426467</v>
      </c>
      <c r="F36" s="290">
        <v>2.2439523975597808</v>
      </c>
      <c r="G36" s="290">
        <v>0.55149343078191737</v>
      </c>
      <c r="H36" s="166" t="s">
        <v>848</v>
      </c>
    </row>
    <row r="37" spans="2:11" ht="16.5">
      <c r="B37" s="31" t="s">
        <v>832</v>
      </c>
      <c r="C37" s="31" t="s">
        <v>820</v>
      </c>
      <c r="D37" s="165">
        <v>0</v>
      </c>
      <c r="E37" s="290">
        <v>0</v>
      </c>
      <c r="F37" s="290">
        <v>0</v>
      </c>
      <c r="G37" s="290">
        <v>0</v>
      </c>
      <c r="H37" s="166"/>
    </row>
    <row r="38" spans="2:11" ht="16.5">
      <c r="B38" s="31" t="s">
        <v>834</v>
      </c>
      <c r="C38" s="31" t="s">
        <v>820</v>
      </c>
      <c r="D38" s="165">
        <v>8.6261379405102119</v>
      </c>
      <c r="E38" s="290">
        <v>6.1615271003644372</v>
      </c>
      <c r="F38" s="290">
        <v>6.1615271003644372</v>
      </c>
      <c r="G38" s="290">
        <v>6.1615271003644372</v>
      </c>
      <c r="H38" s="166"/>
    </row>
    <row r="39" spans="2:11" ht="16.5">
      <c r="B39" s="31" t="s">
        <v>836</v>
      </c>
      <c r="C39" s="31" t="s">
        <v>820</v>
      </c>
      <c r="D39" s="165">
        <v>8.6261379405102119</v>
      </c>
      <c r="E39" s="290">
        <v>6.1615271003644372</v>
      </c>
      <c r="F39" s="290">
        <v>6.1615271003644372</v>
      </c>
      <c r="G39" s="290">
        <v>6.1615271003644372</v>
      </c>
      <c r="H39" s="168"/>
    </row>
    <row r="40" spans="2:11" ht="16.5">
      <c r="B40" s="31" t="s">
        <v>837</v>
      </c>
      <c r="C40" s="31" t="s">
        <v>820</v>
      </c>
      <c r="D40" s="165" t="str">
        <f>IFERROR((INDEX(Proj_grid_intensity_kWh,MATCH(Operations_year,Proj_grid_year,0))/Conversion_kWh_to_MJ)/58.6%, "Year yet to be input")</f>
        <v>Year yet to be input</v>
      </c>
      <c r="E40" s="445">
        <v>60.045965639388157</v>
      </c>
      <c r="F40" s="290">
        <v>53.314498695848066</v>
      </c>
      <c r="G40" s="290">
        <v>70.372399793856673</v>
      </c>
      <c r="H40" s="168" t="s">
        <v>849</v>
      </c>
    </row>
    <row r="41" spans="2:11" ht="16.5">
      <c r="B41" s="31" t="s">
        <v>839</v>
      </c>
      <c r="C41" s="31" t="s">
        <v>820</v>
      </c>
      <c r="D41" s="165">
        <v>0</v>
      </c>
      <c r="E41" s="290">
        <v>0</v>
      </c>
      <c r="F41" s="290">
        <v>0</v>
      </c>
      <c r="G41" s="290">
        <v>0</v>
      </c>
      <c r="H41" s="168"/>
      <c r="K41" s="444"/>
    </row>
    <row r="42" spans="2:11" ht="16.5">
      <c r="B42" s="31" t="s">
        <v>841</v>
      </c>
      <c r="C42" s="31" t="s">
        <v>820</v>
      </c>
      <c r="D42" s="165">
        <v>9.5759881181382678</v>
      </c>
      <c r="E42" s="290">
        <v>6.8399915129559057</v>
      </c>
      <c r="F42" s="290">
        <v>3.3702799607495342</v>
      </c>
      <c r="G42" s="290">
        <v>8.3720452270669092</v>
      </c>
      <c r="H42" s="168"/>
    </row>
    <row r="43" spans="2:11">
      <c r="D43" s="138"/>
      <c r="E43" s="117"/>
    </row>
    <row r="44" spans="2:11">
      <c r="D44" s="138"/>
      <c r="E44" s="117"/>
    </row>
    <row r="45" spans="2:11" ht="14.5" customHeight="1">
      <c r="B45" s="268"/>
      <c r="C45" s="269"/>
      <c r="D45" s="668" t="s">
        <v>850</v>
      </c>
      <c r="E45" s="669"/>
      <c r="F45" s="669"/>
      <c r="G45" s="669"/>
      <c r="H45" s="670"/>
    </row>
    <row r="46" spans="2:11" ht="28.75" customHeight="1">
      <c r="B46" s="286" t="s">
        <v>812</v>
      </c>
      <c r="C46" s="286" t="s">
        <v>770</v>
      </c>
      <c r="D46" s="347" t="s">
        <v>813</v>
      </c>
      <c r="E46" s="175" t="s">
        <v>814</v>
      </c>
      <c r="F46" s="175" t="s">
        <v>815</v>
      </c>
      <c r="G46" s="174" t="s">
        <v>816</v>
      </c>
      <c r="H46" s="285" t="s">
        <v>817</v>
      </c>
    </row>
    <row r="47" spans="2:11" ht="16.5">
      <c r="B47" s="31" t="s">
        <v>819</v>
      </c>
      <c r="C47" s="31" t="s">
        <v>820</v>
      </c>
      <c r="D47" s="165">
        <v>0.38264708593175623</v>
      </c>
      <c r="E47" s="290">
        <v>0.2733193470941116</v>
      </c>
      <c r="F47" s="290">
        <v>0.2733193470941116</v>
      </c>
      <c r="G47" s="290">
        <v>0.2733193470941116</v>
      </c>
      <c r="H47" s="167" t="s">
        <v>851</v>
      </c>
    </row>
    <row r="48" spans="2:11" ht="16.5">
      <c r="B48" s="31" t="s">
        <v>822</v>
      </c>
      <c r="C48" s="31" t="s">
        <v>820</v>
      </c>
      <c r="D48" s="165">
        <v>0.38758846417359327</v>
      </c>
      <c r="E48" s="290">
        <v>0.27684890298113807</v>
      </c>
      <c r="F48" s="290">
        <v>0.27684890298113807</v>
      </c>
      <c r="G48" s="290">
        <v>0.27684890298113807</v>
      </c>
      <c r="H48" s="167" t="s">
        <v>851</v>
      </c>
    </row>
    <row r="49" spans="2:8" ht="16.5">
      <c r="B49" s="31" t="s">
        <v>823</v>
      </c>
      <c r="C49" s="31" t="s">
        <v>820</v>
      </c>
      <c r="D49" s="271" t="s">
        <v>824</v>
      </c>
      <c r="E49" s="290" t="s">
        <v>825</v>
      </c>
      <c r="F49" s="290" t="s">
        <v>825</v>
      </c>
      <c r="G49" s="290" t="s">
        <v>825</v>
      </c>
      <c r="H49" s="166" t="s">
        <v>826</v>
      </c>
    </row>
    <row r="50" spans="2:8" ht="16.5">
      <c r="B50" s="31" t="s">
        <v>827</v>
      </c>
      <c r="C50" s="31" t="s">
        <v>820</v>
      </c>
      <c r="D50" s="535">
        <f>D48</f>
        <v>0.38758846417359327</v>
      </c>
      <c r="E50" s="290" t="s">
        <v>825</v>
      </c>
      <c r="F50" s="290" t="s">
        <v>825</v>
      </c>
      <c r="G50" s="290" t="s">
        <v>825</v>
      </c>
      <c r="H50" s="166" t="s">
        <v>852</v>
      </c>
    </row>
    <row r="51" spans="2:8" ht="16.5">
      <c r="B51" s="31" t="s">
        <v>829</v>
      </c>
      <c r="C51" s="31" t="s">
        <v>820</v>
      </c>
      <c r="D51" s="165">
        <v>0.38264708593175623</v>
      </c>
      <c r="E51" s="290">
        <v>0.2733193470941116</v>
      </c>
      <c r="F51" s="290">
        <v>0.2733193470941116</v>
      </c>
      <c r="G51" s="290">
        <v>0.2733193470941116</v>
      </c>
      <c r="H51" s="167" t="s">
        <v>851</v>
      </c>
    </row>
    <row r="52" spans="2:8" ht="16.5">
      <c r="B52" s="31" t="s">
        <v>831</v>
      </c>
      <c r="C52" s="31" t="s">
        <v>820</v>
      </c>
      <c r="D52" s="165">
        <v>0.38758846417359327</v>
      </c>
      <c r="E52" s="290">
        <v>0.27684890298113807</v>
      </c>
      <c r="F52" s="290">
        <v>0.27684890298113807</v>
      </c>
      <c r="G52" s="290">
        <v>0.27684890298113807</v>
      </c>
      <c r="H52" s="167" t="s">
        <v>851</v>
      </c>
    </row>
    <row r="53" spans="2:8" ht="16.5">
      <c r="B53" s="31" t="s">
        <v>832</v>
      </c>
      <c r="C53" s="31" t="s">
        <v>820</v>
      </c>
      <c r="D53" s="165">
        <v>1.5646296296296296</v>
      </c>
      <c r="E53" s="290">
        <v>1.1175925925925927</v>
      </c>
      <c r="F53" s="290">
        <v>1.1175925925925927</v>
      </c>
      <c r="G53" s="290">
        <v>1.1175925925925927</v>
      </c>
      <c r="H53" s="166" t="s">
        <v>853</v>
      </c>
    </row>
    <row r="54" spans="2:8" ht="16.5">
      <c r="B54" s="31" t="s">
        <v>834</v>
      </c>
      <c r="C54" s="31" t="s">
        <v>820</v>
      </c>
      <c r="D54" s="165">
        <v>3.3656273482902073</v>
      </c>
      <c r="E54" s="290">
        <v>2.4040195344930053</v>
      </c>
      <c r="F54" s="290">
        <v>1.9752105538595348</v>
      </c>
      <c r="G54" s="290">
        <v>3.9763191301490659</v>
      </c>
      <c r="H54" s="166" t="s">
        <v>854</v>
      </c>
    </row>
    <row r="55" spans="2:8" ht="16.5">
      <c r="B55" s="31" t="s">
        <v>836</v>
      </c>
      <c r="C55" s="31" t="s">
        <v>820</v>
      </c>
      <c r="D55" s="165">
        <v>3.3656273482902073</v>
      </c>
      <c r="E55" s="290">
        <v>2.4040195344930053</v>
      </c>
      <c r="F55" s="290">
        <v>1.9752105538595348</v>
      </c>
      <c r="G55" s="290">
        <v>3.9763191301490659</v>
      </c>
      <c r="H55" s="166" t="s">
        <v>854</v>
      </c>
    </row>
    <row r="56" spans="2:8" ht="16.5">
      <c r="B56" s="31" t="s">
        <v>837</v>
      </c>
      <c r="C56" s="31" t="s">
        <v>820</v>
      </c>
      <c r="D56" s="165">
        <v>0.10812116897654467</v>
      </c>
      <c r="E56" s="290">
        <v>7.7229406411817622E-2</v>
      </c>
      <c r="F56" s="290">
        <v>6.4961118123529352E-2</v>
      </c>
      <c r="G56" s="290">
        <v>7.7229406411817636E-2</v>
      </c>
      <c r="H56" s="166" t="s">
        <v>855</v>
      </c>
    </row>
    <row r="57" spans="2:8" ht="16.5">
      <c r="B57" s="31" t="s">
        <v>839</v>
      </c>
      <c r="C57" s="31" t="s">
        <v>820</v>
      </c>
      <c r="D57" s="165">
        <v>0.10812116897654468</v>
      </c>
      <c r="E57" s="290">
        <v>7.7229406411817636E-2</v>
      </c>
      <c r="F57" s="290">
        <v>6.4961118123529352E-2</v>
      </c>
      <c r="G57" s="290">
        <v>7.7229406411817636E-2</v>
      </c>
      <c r="H57" s="166" t="s">
        <v>855</v>
      </c>
    </row>
    <row r="58" spans="2:8" ht="16.5">
      <c r="B58" s="31" t="s">
        <v>841</v>
      </c>
      <c r="C58" s="31" t="s">
        <v>820</v>
      </c>
      <c r="D58" s="165">
        <v>0.10812116897654468</v>
      </c>
      <c r="E58" s="290">
        <v>7.7229406411817636E-2</v>
      </c>
      <c r="F58" s="290">
        <v>6.4961118123529352E-2</v>
      </c>
      <c r="G58" s="290">
        <v>7.7229406411817636E-2</v>
      </c>
      <c r="H58" s="166" t="s">
        <v>855</v>
      </c>
    </row>
    <row r="59" spans="2:8">
      <c r="D59" s="138"/>
      <c r="E59" s="117"/>
    </row>
    <row r="60" spans="2:8">
      <c r="D60" s="138"/>
      <c r="E60" s="117"/>
    </row>
    <row r="61" spans="2:8">
      <c r="B61" s="268"/>
      <c r="C61" s="269"/>
      <c r="D61" s="671" t="s">
        <v>856</v>
      </c>
      <c r="E61" s="672"/>
      <c r="F61" s="672"/>
      <c r="G61" s="672"/>
      <c r="H61" s="673"/>
    </row>
    <row r="62" spans="2:8" ht="28.75" customHeight="1">
      <c r="B62" s="286" t="s">
        <v>812</v>
      </c>
      <c r="C62" s="286" t="s">
        <v>770</v>
      </c>
      <c r="D62" s="284" t="s">
        <v>813</v>
      </c>
      <c r="E62" s="175" t="s">
        <v>814</v>
      </c>
      <c r="F62" s="175" t="s">
        <v>815</v>
      </c>
      <c r="G62" s="174" t="s">
        <v>816</v>
      </c>
      <c r="H62" s="285" t="s">
        <v>817</v>
      </c>
    </row>
    <row r="63" spans="2:8" ht="16.5">
      <c r="B63" s="31" t="s">
        <v>819</v>
      </c>
      <c r="C63" s="31" t="s">
        <v>820</v>
      </c>
      <c r="D63" s="271" t="s">
        <v>824</v>
      </c>
      <c r="E63" s="290">
        <v>77.426371291946197</v>
      </c>
      <c r="F63" s="290">
        <v>75.89486065100661</v>
      </c>
      <c r="G63" s="290">
        <v>78.957881932885783</v>
      </c>
      <c r="H63" s="31"/>
    </row>
    <row r="64" spans="2:8" ht="16.5">
      <c r="B64" s="31" t="s">
        <v>822</v>
      </c>
      <c r="C64" s="31" t="s">
        <v>820</v>
      </c>
      <c r="D64" s="271" t="s">
        <v>824</v>
      </c>
      <c r="E64" s="290">
        <v>72.508727011227364</v>
      </c>
      <c r="F64" s="290">
        <v>67.541546046381399</v>
      </c>
      <c r="G64" s="290">
        <v>82.867116584259847</v>
      </c>
      <c r="H64" s="31"/>
    </row>
    <row r="65" spans="2:8" ht="16.5">
      <c r="B65" s="31" t="s">
        <v>823</v>
      </c>
      <c r="C65" s="31" t="s">
        <v>820</v>
      </c>
      <c r="D65" s="165" t="str">
        <f>D63</f>
        <v>Use projected</v>
      </c>
      <c r="E65" s="290" t="s">
        <v>825</v>
      </c>
      <c r="F65" s="290" t="s">
        <v>825</v>
      </c>
      <c r="G65" s="290" t="s">
        <v>825</v>
      </c>
      <c r="H65" s="166"/>
    </row>
    <row r="66" spans="2:8" ht="16.5">
      <c r="B66" s="31" t="s">
        <v>827</v>
      </c>
      <c r="C66" s="31" t="s">
        <v>820</v>
      </c>
      <c r="D66" s="165" t="s">
        <v>824</v>
      </c>
      <c r="E66" s="290" t="s">
        <v>825</v>
      </c>
      <c r="F66" s="290" t="s">
        <v>825</v>
      </c>
      <c r="G66" s="290" t="s">
        <v>825</v>
      </c>
      <c r="H66" s="166"/>
    </row>
    <row r="67" spans="2:8" ht="16.5">
      <c r="B67" s="31" t="s">
        <v>829</v>
      </c>
      <c r="C67" s="31" t="s">
        <v>820</v>
      </c>
      <c r="D67" s="271" t="s">
        <v>824</v>
      </c>
      <c r="E67" s="290">
        <v>0</v>
      </c>
      <c r="F67" s="290">
        <v>0</v>
      </c>
      <c r="G67" s="290">
        <v>0</v>
      </c>
      <c r="H67" s="31"/>
    </row>
    <row r="68" spans="2:8" ht="16.5">
      <c r="B68" s="31" t="s">
        <v>831</v>
      </c>
      <c r="C68" s="31" t="s">
        <v>820</v>
      </c>
      <c r="D68" s="271" t="s">
        <v>824</v>
      </c>
      <c r="E68" s="290">
        <v>0</v>
      </c>
      <c r="F68" s="290">
        <v>0</v>
      </c>
      <c r="G68" s="290">
        <v>0</v>
      </c>
      <c r="H68" s="31"/>
    </row>
    <row r="69" spans="2:8" ht="16.5">
      <c r="B69" s="31" t="s">
        <v>832</v>
      </c>
      <c r="C69" s="31" t="s">
        <v>820</v>
      </c>
      <c r="D69" s="271" t="s">
        <v>824</v>
      </c>
      <c r="E69" s="290">
        <v>0</v>
      </c>
      <c r="F69" s="290">
        <v>0</v>
      </c>
      <c r="G69" s="290">
        <v>0</v>
      </c>
      <c r="H69" s="31"/>
    </row>
    <row r="70" spans="2:8" ht="16.5">
      <c r="B70" s="31" t="s">
        <v>834</v>
      </c>
      <c r="C70" s="31" t="s">
        <v>820</v>
      </c>
      <c r="D70" s="271" t="s">
        <v>824</v>
      </c>
      <c r="E70" s="290">
        <v>0</v>
      </c>
      <c r="F70" s="290">
        <v>0</v>
      </c>
      <c r="G70" s="290">
        <v>0</v>
      </c>
      <c r="H70" s="31" t="s">
        <v>857</v>
      </c>
    </row>
    <row r="71" spans="2:8" ht="16.5">
      <c r="B71" s="31" t="s">
        <v>836</v>
      </c>
      <c r="C71" s="31" t="s">
        <v>820</v>
      </c>
      <c r="D71" s="271" t="s">
        <v>824</v>
      </c>
      <c r="E71" s="290">
        <v>127.67543859649123</v>
      </c>
      <c r="F71" s="290">
        <v>127.67543859649123</v>
      </c>
      <c r="G71" s="290">
        <v>127.67543859649123</v>
      </c>
      <c r="H71" s="31" t="s">
        <v>858</v>
      </c>
    </row>
    <row r="72" spans="2:8" ht="16.5">
      <c r="B72" s="31" t="s">
        <v>837</v>
      </c>
      <c r="C72" s="31" t="s">
        <v>820</v>
      </c>
      <c r="D72" s="271" t="s">
        <v>824</v>
      </c>
      <c r="E72" s="290">
        <v>0</v>
      </c>
      <c r="F72" s="290">
        <v>0</v>
      </c>
      <c r="G72" s="290">
        <v>0</v>
      </c>
      <c r="H72" s="31"/>
    </row>
    <row r="73" spans="2:8" ht="16.5">
      <c r="B73" s="31" t="s">
        <v>839</v>
      </c>
      <c r="C73" s="31" t="s">
        <v>820</v>
      </c>
      <c r="D73" s="271" t="s">
        <v>824</v>
      </c>
      <c r="E73" s="290">
        <v>0</v>
      </c>
      <c r="F73" s="290">
        <v>0</v>
      </c>
      <c r="G73" s="290">
        <v>0</v>
      </c>
      <c r="H73" s="31"/>
    </row>
    <row r="74" spans="2:8" ht="16.5">
      <c r="B74" s="31" t="s">
        <v>841</v>
      </c>
      <c r="C74" s="31" t="s">
        <v>820</v>
      </c>
      <c r="D74" s="271" t="s">
        <v>824</v>
      </c>
      <c r="E74" s="290">
        <v>0</v>
      </c>
      <c r="F74" s="290">
        <v>0</v>
      </c>
      <c r="G74" s="290">
        <v>0</v>
      </c>
      <c r="H74" s="31"/>
    </row>
    <row r="75" spans="2:8">
      <c r="E75" s="117"/>
    </row>
    <row r="76" spans="2:8">
      <c r="D76" s="138"/>
      <c r="E76" s="117"/>
    </row>
    <row r="77" spans="2:8" ht="14.5" customHeight="1">
      <c r="B77" s="268"/>
      <c r="C77" s="269"/>
      <c r="D77" s="668" t="s">
        <v>859</v>
      </c>
      <c r="E77" s="669"/>
      <c r="F77" s="669"/>
      <c r="G77" s="669"/>
      <c r="H77" s="670"/>
    </row>
    <row r="78" spans="2:8" ht="28.75" customHeight="1">
      <c r="B78" s="286" t="s">
        <v>812</v>
      </c>
      <c r="C78" s="286" t="s">
        <v>770</v>
      </c>
      <c r="D78" s="284" t="s">
        <v>813</v>
      </c>
      <c r="E78" s="175" t="s">
        <v>814</v>
      </c>
      <c r="F78" s="175" t="s">
        <v>815</v>
      </c>
      <c r="G78" s="174" t="s">
        <v>816</v>
      </c>
      <c r="H78" s="285" t="s">
        <v>817</v>
      </c>
    </row>
    <row r="79" spans="2:8" ht="16.5">
      <c r="B79" s="31" t="s">
        <v>819</v>
      </c>
      <c r="C79" s="31" t="s">
        <v>820</v>
      </c>
      <c r="D79" s="271" t="s">
        <v>824</v>
      </c>
      <c r="E79" s="291" t="s">
        <v>860</v>
      </c>
      <c r="F79" s="291" t="s">
        <v>860</v>
      </c>
      <c r="G79" s="291" t="s">
        <v>860</v>
      </c>
      <c r="H79" s="31" t="s">
        <v>861</v>
      </c>
    </row>
    <row r="80" spans="2:8" ht="16.5">
      <c r="B80" s="31" t="s">
        <v>822</v>
      </c>
      <c r="C80" s="31" t="s">
        <v>820</v>
      </c>
      <c r="D80" s="271" t="s">
        <v>824</v>
      </c>
      <c r="E80" s="291" t="s">
        <v>860</v>
      </c>
      <c r="F80" s="291" t="s">
        <v>860</v>
      </c>
      <c r="G80" s="291" t="s">
        <v>860</v>
      </c>
      <c r="H80" s="31" t="s">
        <v>861</v>
      </c>
    </row>
    <row r="81" spans="2:8" ht="16.5">
      <c r="B81" s="31" t="s">
        <v>823</v>
      </c>
      <c r="C81" s="31" t="s">
        <v>820</v>
      </c>
      <c r="D81" s="165" t="str">
        <f>D79</f>
        <v>Use projected</v>
      </c>
      <c r="E81" s="290" t="s">
        <v>825</v>
      </c>
      <c r="F81" s="290" t="s">
        <v>825</v>
      </c>
      <c r="G81" s="290" t="s">
        <v>825</v>
      </c>
      <c r="H81" s="166"/>
    </row>
    <row r="82" spans="2:8" ht="16.5">
      <c r="B82" s="31" t="s">
        <v>827</v>
      </c>
      <c r="C82" s="31" t="s">
        <v>820</v>
      </c>
      <c r="D82" s="165" t="s">
        <v>824</v>
      </c>
      <c r="E82" s="290" t="s">
        <v>825</v>
      </c>
      <c r="F82" s="290" t="s">
        <v>825</v>
      </c>
      <c r="G82" s="290" t="s">
        <v>825</v>
      </c>
      <c r="H82" s="166"/>
    </row>
    <row r="83" spans="2:8" ht="16.5">
      <c r="B83" s="31" t="s">
        <v>829</v>
      </c>
      <c r="C83" s="31" t="s">
        <v>820</v>
      </c>
      <c r="D83" s="271" t="s">
        <v>824</v>
      </c>
      <c r="E83" s="291" t="s">
        <v>860</v>
      </c>
      <c r="F83" s="291" t="s">
        <v>860</v>
      </c>
      <c r="G83" s="291" t="s">
        <v>860</v>
      </c>
      <c r="H83" s="31" t="s">
        <v>861</v>
      </c>
    </row>
    <row r="84" spans="2:8" ht="16.5">
      <c r="B84" s="31" t="s">
        <v>831</v>
      </c>
      <c r="C84" s="31" t="s">
        <v>820</v>
      </c>
      <c r="D84" s="271" t="s">
        <v>824</v>
      </c>
      <c r="E84" s="291" t="s">
        <v>860</v>
      </c>
      <c r="F84" s="291" t="s">
        <v>860</v>
      </c>
      <c r="G84" s="291" t="s">
        <v>860</v>
      </c>
      <c r="H84" s="31" t="s">
        <v>861</v>
      </c>
    </row>
    <row r="85" spans="2:8" ht="16.5">
      <c r="B85" s="31" t="s">
        <v>832</v>
      </c>
      <c r="C85" s="31" t="s">
        <v>820</v>
      </c>
      <c r="D85" s="271" t="s">
        <v>824</v>
      </c>
      <c r="E85" s="291" t="s">
        <v>860</v>
      </c>
      <c r="F85" s="291" t="s">
        <v>860</v>
      </c>
      <c r="G85" s="291" t="s">
        <v>860</v>
      </c>
      <c r="H85" s="31" t="s">
        <v>861</v>
      </c>
    </row>
    <row r="86" spans="2:8" ht="16.5">
      <c r="B86" s="31" t="s">
        <v>834</v>
      </c>
      <c r="C86" s="31" t="s">
        <v>820</v>
      </c>
      <c r="D86" s="271" t="s">
        <v>824</v>
      </c>
      <c r="E86" s="291" t="s">
        <v>860</v>
      </c>
      <c r="F86" s="291" t="s">
        <v>860</v>
      </c>
      <c r="G86" s="291" t="s">
        <v>860</v>
      </c>
      <c r="H86" s="31" t="s">
        <v>861</v>
      </c>
    </row>
    <row r="87" spans="2:8" ht="16.5">
      <c r="B87" s="31" t="s">
        <v>836</v>
      </c>
      <c r="C87" s="31" t="s">
        <v>820</v>
      </c>
      <c r="D87" s="271" t="s">
        <v>824</v>
      </c>
      <c r="E87" s="291" t="s">
        <v>860</v>
      </c>
      <c r="F87" s="291" t="s">
        <v>860</v>
      </c>
      <c r="G87" s="291" t="s">
        <v>860</v>
      </c>
      <c r="H87" s="31" t="s">
        <v>861</v>
      </c>
    </row>
    <row r="88" spans="2:8" ht="16.5">
      <c r="B88" s="31" t="s">
        <v>837</v>
      </c>
      <c r="C88" s="31" t="s">
        <v>820</v>
      </c>
      <c r="D88" s="271" t="s">
        <v>824</v>
      </c>
      <c r="E88" s="290">
        <v>0</v>
      </c>
      <c r="F88" s="290">
        <v>0</v>
      </c>
      <c r="G88" s="290">
        <v>0</v>
      </c>
      <c r="H88" s="31"/>
    </row>
    <row r="89" spans="2:8" ht="16.5">
      <c r="B89" s="31" t="s">
        <v>839</v>
      </c>
      <c r="C89" s="31" t="s">
        <v>820</v>
      </c>
      <c r="D89" s="271" t="s">
        <v>824</v>
      </c>
      <c r="E89" s="290">
        <v>0</v>
      </c>
      <c r="F89" s="290">
        <v>0</v>
      </c>
      <c r="G89" s="290">
        <v>0</v>
      </c>
      <c r="H89" s="31"/>
    </row>
    <row r="90" spans="2:8" ht="16.5">
      <c r="B90" s="31" t="s">
        <v>841</v>
      </c>
      <c r="C90" s="31" t="s">
        <v>820</v>
      </c>
      <c r="D90" s="271" t="s">
        <v>824</v>
      </c>
      <c r="E90" s="290">
        <v>0</v>
      </c>
      <c r="F90" s="290">
        <v>0</v>
      </c>
      <c r="G90" s="290">
        <v>0</v>
      </c>
      <c r="H90" s="31"/>
    </row>
    <row r="91" spans="2:8">
      <c r="D91" s="138"/>
      <c r="E91" s="117"/>
    </row>
    <row r="92" spans="2:8">
      <c r="D92" s="138"/>
      <c r="E92" s="117"/>
    </row>
    <row r="93" spans="2:8" ht="14.5" customHeight="1">
      <c r="B93" s="268"/>
      <c r="C93" s="269"/>
      <c r="D93" s="668" t="s">
        <v>862</v>
      </c>
      <c r="E93" s="669"/>
      <c r="F93" s="669"/>
      <c r="G93" s="669"/>
      <c r="H93" s="670"/>
    </row>
    <row r="94" spans="2:8" ht="28.75" customHeight="1">
      <c r="B94" s="286" t="s">
        <v>812</v>
      </c>
      <c r="C94" s="286" t="s">
        <v>770</v>
      </c>
      <c r="D94" s="284" t="s">
        <v>813</v>
      </c>
      <c r="E94" s="273" t="s">
        <v>814</v>
      </c>
      <c r="F94" s="273" t="s">
        <v>815</v>
      </c>
      <c r="G94" s="274" t="s">
        <v>816</v>
      </c>
      <c r="H94" s="285" t="s">
        <v>817</v>
      </c>
    </row>
    <row r="95" spans="2:8" ht="16.5">
      <c r="B95" s="31" t="s">
        <v>819</v>
      </c>
      <c r="C95" s="31" t="s">
        <v>820</v>
      </c>
      <c r="D95" s="272" t="s">
        <v>824</v>
      </c>
      <c r="E95" s="290">
        <v>-65.81241559815426</v>
      </c>
      <c r="F95" s="290">
        <v>-68.381269446556956</v>
      </c>
      <c r="G95" s="290">
        <v>-52.822823013100589</v>
      </c>
      <c r="H95" s="31"/>
    </row>
    <row r="96" spans="2:8" ht="16.5">
      <c r="B96" s="31" t="s">
        <v>822</v>
      </c>
      <c r="C96" s="31" t="s">
        <v>820</v>
      </c>
      <c r="D96" s="272" t="s">
        <v>824</v>
      </c>
      <c r="E96" s="290">
        <v>-68.883290660665992</v>
      </c>
      <c r="F96" s="290">
        <v>-64.637259566387002</v>
      </c>
      <c r="G96" s="290">
        <v>-78.723760755046854</v>
      </c>
      <c r="H96" s="31"/>
    </row>
    <row r="97" spans="2:8" ht="16.5">
      <c r="B97" s="31" t="s">
        <v>823</v>
      </c>
      <c r="C97" s="31" t="s">
        <v>820</v>
      </c>
      <c r="D97" s="165" t="str">
        <f>D95</f>
        <v>Use projected</v>
      </c>
      <c r="E97" s="290" t="s">
        <v>825</v>
      </c>
      <c r="F97" s="290" t="s">
        <v>825</v>
      </c>
      <c r="G97" s="290" t="s">
        <v>825</v>
      </c>
      <c r="H97" s="166"/>
    </row>
    <row r="98" spans="2:8" ht="16.5">
      <c r="B98" s="31" t="s">
        <v>827</v>
      </c>
      <c r="C98" s="31" t="s">
        <v>820</v>
      </c>
      <c r="D98" s="578" t="s">
        <v>824</v>
      </c>
      <c r="E98" s="290" t="s">
        <v>825</v>
      </c>
      <c r="F98" s="290" t="s">
        <v>825</v>
      </c>
      <c r="G98" s="290" t="s">
        <v>825</v>
      </c>
      <c r="H98" s="166"/>
    </row>
    <row r="99" spans="2:8" ht="16.5">
      <c r="B99" s="31" t="s">
        <v>829</v>
      </c>
      <c r="C99" s="31" t="s">
        <v>820</v>
      </c>
      <c r="D99" s="272" t="s">
        <v>824</v>
      </c>
      <c r="E99" s="290">
        <v>-64.138620000000003</v>
      </c>
      <c r="F99" s="290">
        <v>-66.642140640000008</v>
      </c>
      <c r="G99" s="290">
        <v>-51.479389439999999</v>
      </c>
      <c r="H99" s="31"/>
    </row>
    <row r="100" spans="2:8" ht="16.5">
      <c r="B100" s="31" t="s">
        <v>831</v>
      </c>
      <c r="C100" s="31" t="s">
        <v>820</v>
      </c>
      <c r="D100" s="272" t="s">
        <v>824</v>
      </c>
      <c r="E100" s="290">
        <v>-67.130693270222494</v>
      </c>
      <c r="F100" s="290">
        <v>-62.992693934359799</v>
      </c>
      <c r="G100" s="290">
        <v>-76.720792308825693</v>
      </c>
      <c r="H100" s="31"/>
    </row>
    <row r="101" spans="2:8" ht="16.5">
      <c r="B101" s="31" t="s">
        <v>832</v>
      </c>
      <c r="C101" s="31" t="s">
        <v>820</v>
      </c>
      <c r="D101" s="272" t="s">
        <v>824</v>
      </c>
      <c r="E101" s="290">
        <v>-177.61752136752133</v>
      </c>
      <c r="F101" s="290">
        <v>-181.35683760683759</v>
      </c>
      <c r="G101" s="290">
        <v>-175</v>
      </c>
      <c r="H101" s="31"/>
    </row>
    <row r="102" spans="2:8" ht="16.5">
      <c r="B102" s="31" t="s">
        <v>834</v>
      </c>
      <c r="C102" s="31" t="s">
        <v>820</v>
      </c>
      <c r="D102" s="272" t="s">
        <v>824</v>
      </c>
      <c r="E102" s="290">
        <v>-121.29166666666666</v>
      </c>
      <c r="F102" s="290">
        <v>-123.8451754385965</v>
      </c>
      <c r="G102" s="290">
        <v>-114.90789473684211</v>
      </c>
      <c r="H102" s="31"/>
    </row>
    <row r="103" spans="2:8" ht="16.5">
      <c r="B103" s="31" t="s">
        <v>836</v>
      </c>
      <c r="C103" s="31" t="s">
        <v>820</v>
      </c>
      <c r="D103" s="272" t="s">
        <v>824</v>
      </c>
      <c r="E103" s="290">
        <v>-121.29166666666666</v>
      </c>
      <c r="F103" s="290">
        <v>-123.8451754385965</v>
      </c>
      <c r="G103" s="290">
        <v>-114.90789473684211</v>
      </c>
      <c r="H103" s="31"/>
    </row>
    <row r="104" spans="2:8" ht="16.5">
      <c r="B104" s="31" t="s">
        <v>837</v>
      </c>
      <c r="C104" s="31" t="s">
        <v>820</v>
      </c>
      <c r="D104" s="272" t="s">
        <v>824</v>
      </c>
      <c r="E104" s="290">
        <v>0</v>
      </c>
      <c r="F104" s="290">
        <v>0</v>
      </c>
      <c r="G104" s="290">
        <v>0</v>
      </c>
      <c r="H104" s="31"/>
    </row>
    <row r="105" spans="2:8" ht="16.5">
      <c r="B105" s="31" t="s">
        <v>839</v>
      </c>
      <c r="C105" s="31" t="s">
        <v>820</v>
      </c>
      <c r="D105" s="272" t="s">
        <v>824</v>
      </c>
      <c r="E105" s="290">
        <v>0</v>
      </c>
      <c r="F105" s="290">
        <v>0</v>
      </c>
      <c r="G105" s="290">
        <v>0</v>
      </c>
      <c r="H105" s="31"/>
    </row>
    <row r="106" spans="2:8" ht="16.5">
      <c r="B106" s="31" t="s">
        <v>841</v>
      </c>
      <c r="C106" s="31" t="s">
        <v>820</v>
      </c>
      <c r="D106" s="272" t="s">
        <v>824</v>
      </c>
      <c r="E106" s="290">
        <v>0</v>
      </c>
      <c r="F106" s="290">
        <v>0</v>
      </c>
      <c r="G106" s="290">
        <v>0</v>
      </c>
      <c r="H106" s="31"/>
    </row>
    <row r="107" spans="2:8">
      <c r="D107" s="138"/>
      <c r="E107" s="138"/>
      <c r="F107" s="117"/>
    </row>
    <row r="108" spans="2:8">
      <c r="D108" s="138"/>
      <c r="E108" s="117"/>
    </row>
    <row r="109" spans="2:8" ht="14.5" customHeight="1">
      <c r="B109" s="268"/>
      <c r="C109" s="269"/>
      <c r="D109" s="668" t="s">
        <v>863</v>
      </c>
      <c r="E109" s="669"/>
      <c r="F109" s="669"/>
      <c r="G109" s="669"/>
      <c r="H109" s="670"/>
    </row>
    <row r="110" spans="2:8" ht="28.75" customHeight="1">
      <c r="B110" s="286" t="s">
        <v>812</v>
      </c>
      <c r="C110" s="286" t="s">
        <v>770</v>
      </c>
      <c r="D110" s="284" t="s">
        <v>813</v>
      </c>
      <c r="E110" s="273" t="s">
        <v>814</v>
      </c>
      <c r="F110" s="273" t="s">
        <v>815</v>
      </c>
      <c r="G110" s="274" t="s">
        <v>816</v>
      </c>
      <c r="H110" s="285" t="s">
        <v>817</v>
      </c>
    </row>
    <row r="111" spans="2:8" ht="16.5">
      <c r="B111" s="31" t="s">
        <v>819</v>
      </c>
      <c r="C111" s="31" t="s">
        <v>820</v>
      </c>
      <c r="D111" s="272" t="s">
        <v>824</v>
      </c>
      <c r="E111" s="290">
        <v>1.221220749665328</v>
      </c>
      <c r="F111" s="290">
        <v>1.221220749665328</v>
      </c>
      <c r="G111" s="290">
        <v>1.221220749665328</v>
      </c>
      <c r="H111" s="31"/>
    </row>
    <row r="112" spans="2:8" ht="16.5">
      <c r="B112" s="31" t="s">
        <v>822</v>
      </c>
      <c r="C112" s="31" t="s">
        <v>820</v>
      </c>
      <c r="D112" s="272" t="s">
        <v>824</v>
      </c>
      <c r="E112" s="290">
        <v>0.76823333654718573</v>
      </c>
      <c r="F112" s="290">
        <v>0.76823333654718573</v>
      </c>
      <c r="G112" s="290">
        <v>0.76823333654718573</v>
      </c>
      <c r="H112" s="31"/>
    </row>
    <row r="113" spans="2:15" ht="16.5">
      <c r="B113" s="31" t="s">
        <v>823</v>
      </c>
      <c r="C113" s="31" t="s">
        <v>820</v>
      </c>
      <c r="D113" s="165" t="str">
        <f>D111</f>
        <v>Use projected</v>
      </c>
      <c r="E113" s="290" t="s">
        <v>825</v>
      </c>
      <c r="F113" s="290" t="s">
        <v>825</v>
      </c>
      <c r="G113" s="290" t="s">
        <v>825</v>
      </c>
      <c r="H113" s="166"/>
    </row>
    <row r="114" spans="2:15" ht="16.5">
      <c r="B114" s="31" t="s">
        <v>827</v>
      </c>
      <c r="C114" s="31" t="s">
        <v>820</v>
      </c>
      <c r="D114" s="578" t="s">
        <v>824</v>
      </c>
      <c r="E114" s="290" t="s">
        <v>825</v>
      </c>
      <c r="F114" s="290" t="s">
        <v>825</v>
      </c>
      <c r="G114" s="290" t="s">
        <v>825</v>
      </c>
      <c r="H114" s="166"/>
    </row>
    <row r="115" spans="2:15" ht="16.5">
      <c r="B115" s="31" t="s">
        <v>829</v>
      </c>
      <c r="C115" s="31" t="s">
        <v>820</v>
      </c>
      <c r="D115" s="272" t="s">
        <v>824</v>
      </c>
      <c r="E115" s="290">
        <v>1.221220749665328</v>
      </c>
      <c r="F115" s="290">
        <v>1.221220749665328</v>
      </c>
      <c r="G115" s="290">
        <v>1.221220749665328</v>
      </c>
      <c r="H115" s="31"/>
    </row>
    <row r="116" spans="2:15" ht="16.5">
      <c r="B116" s="31" t="s">
        <v>831</v>
      </c>
      <c r="C116" s="31" t="s">
        <v>820</v>
      </c>
      <c r="D116" s="272" t="s">
        <v>824</v>
      </c>
      <c r="E116" s="290">
        <v>0.76823333654718573</v>
      </c>
      <c r="F116" s="290">
        <v>0.76823333654718573</v>
      </c>
      <c r="G116" s="290">
        <v>0.76823333654718573</v>
      </c>
      <c r="H116" s="31"/>
    </row>
    <row r="117" spans="2:15" ht="16.5">
      <c r="B117" s="31" t="s">
        <v>832</v>
      </c>
      <c r="C117" s="31" t="s">
        <v>820</v>
      </c>
      <c r="D117" s="272" t="s">
        <v>824</v>
      </c>
      <c r="E117" s="290">
        <v>0</v>
      </c>
      <c r="F117" s="290">
        <v>0</v>
      </c>
      <c r="G117" s="290">
        <v>0</v>
      </c>
      <c r="H117" s="31"/>
    </row>
    <row r="118" spans="2:15" ht="16.5">
      <c r="B118" s="31" t="s">
        <v>834</v>
      </c>
      <c r="C118" s="31" t="s">
        <v>820</v>
      </c>
      <c r="D118" s="272" t="s">
        <v>824</v>
      </c>
      <c r="E118" s="290">
        <v>0</v>
      </c>
      <c r="F118" s="290">
        <v>0</v>
      </c>
      <c r="G118" s="290">
        <v>0</v>
      </c>
      <c r="H118" s="31"/>
    </row>
    <row r="119" spans="2:15" ht="16.5">
      <c r="B119" s="31" t="s">
        <v>836</v>
      </c>
      <c r="C119" s="31" t="s">
        <v>820</v>
      </c>
      <c r="D119" s="272" t="s">
        <v>824</v>
      </c>
      <c r="E119" s="290">
        <v>0</v>
      </c>
      <c r="F119" s="290">
        <v>0</v>
      </c>
      <c r="G119" s="290">
        <v>0</v>
      </c>
      <c r="H119" s="31"/>
    </row>
    <row r="120" spans="2:15" ht="16.5">
      <c r="B120" s="31" t="s">
        <v>837</v>
      </c>
      <c r="C120" s="31" t="s">
        <v>820</v>
      </c>
      <c r="D120" s="272" t="s">
        <v>824</v>
      </c>
      <c r="E120" s="290">
        <v>0</v>
      </c>
      <c r="F120" s="290">
        <v>0</v>
      </c>
      <c r="G120" s="290">
        <v>0</v>
      </c>
      <c r="H120" s="31"/>
    </row>
    <row r="121" spans="2:15" ht="16.5">
      <c r="B121" s="31" t="s">
        <v>839</v>
      </c>
      <c r="C121" s="31" t="s">
        <v>820</v>
      </c>
      <c r="D121" s="272" t="s">
        <v>824</v>
      </c>
      <c r="E121" s="290">
        <v>0</v>
      </c>
      <c r="F121" s="290">
        <v>0</v>
      </c>
      <c r="G121" s="290">
        <v>0</v>
      </c>
      <c r="H121" s="31"/>
    </row>
    <row r="122" spans="2:15" ht="16.5">
      <c r="B122" s="31" t="s">
        <v>841</v>
      </c>
      <c r="C122" s="31" t="s">
        <v>820</v>
      </c>
      <c r="D122" s="272" t="s">
        <v>824</v>
      </c>
      <c r="E122" s="290">
        <v>0</v>
      </c>
      <c r="F122" s="290">
        <v>0</v>
      </c>
      <c r="G122" s="290">
        <v>0</v>
      </c>
      <c r="H122" s="31"/>
      <c r="O122" s="90"/>
    </row>
    <row r="123" spans="2:15">
      <c r="D123" s="138"/>
      <c r="E123" s="138"/>
      <c r="F123" s="117"/>
    </row>
    <row r="124" spans="2:15">
      <c r="D124" s="138"/>
      <c r="E124" s="117"/>
    </row>
    <row r="125" spans="2:15" ht="14.5" customHeight="1">
      <c r="B125" s="268"/>
      <c r="C125" s="269"/>
      <c r="D125" s="668" t="s">
        <v>864</v>
      </c>
      <c r="E125" s="669"/>
      <c r="F125" s="669"/>
      <c r="G125" s="669"/>
      <c r="H125" s="670"/>
    </row>
    <row r="126" spans="2:15" ht="28.75" customHeight="1">
      <c r="B126" s="286" t="s">
        <v>812</v>
      </c>
      <c r="C126" s="286" t="s">
        <v>770</v>
      </c>
      <c r="D126" s="284" t="s">
        <v>813</v>
      </c>
      <c r="E126" s="273" t="s">
        <v>814</v>
      </c>
      <c r="F126" s="273" t="s">
        <v>815</v>
      </c>
      <c r="G126" s="274" t="s">
        <v>816</v>
      </c>
      <c r="H126" s="285" t="s">
        <v>817</v>
      </c>
    </row>
    <row r="127" spans="2:15" ht="16.5">
      <c r="B127" s="31" t="s">
        <v>819</v>
      </c>
      <c r="C127" s="31" t="s">
        <v>820</v>
      </c>
      <c r="D127" s="272" t="s">
        <v>824</v>
      </c>
      <c r="E127" s="290">
        <v>0</v>
      </c>
      <c r="F127" s="290">
        <v>0</v>
      </c>
      <c r="G127" s="290">
        <v>0</v>
      </c>
      <c r="H127" s="31"/>
    </row>
    <row r="128" spans="2:15" ht="16.5">
      <c r="B128" s="31" t="s">
        <v>822</v>
      </c>
      <c r="C128" s="31" t="s">
        <v>820</v>
      </c>
      <c r="D128" s="272" t="s">
        <v>824</v>
      </c>
      <c r="E128" s="290">
        <v>0</v>
      </c>
      <c r="F128" s="290">
        <v>0</v>
      </c>
      <c r="G128" s="290">
        <v>0</v>
      </c>
      <c r="H128" s="31"/>
    </row>
    <row r="129" spans="2:15" ht="16.5">
      <c r="B129" s="31" t="s">
        <v>823</v>
      </c>
      <c r="C129" s="31" t="s">
        <v>820</v>
      </c>
      <c r="D129" s="165" t="str">
        <f>D127</f>
        <v>Use projected</v>
      </c>
      <c r="E129" s="290" t="s">
        <v>825</v>
      </c>
      <c r="F129" s="290" t="s">
        <v>825</v>
      </c>
      <c r="G129" s="290" t="s">
        <v>825</v>
      </c>
      <c r="H129" s="166"/>
    </row>
    <row r="130" spans="2:15" ht="16.5">
      <c r="B130" s="31" t="s">
        <v>827</v>
      </c>
      <c r="C130" s="31" t="s">
        <v>820</v>
      </c>
      <c r="D130" s="578" t="s">
        <v>824</v>
      </c>
      <c r="E130" s="290" t="s">
        <v>825</v>
      </c>
      <c r="F130" s="290" t="s">
        <v>825</v>
      </c>
      <c r="G130" s="290" t="s">
        <v>825</v>
      </c>
      <c r="H130" s="166"/>
    </row>
    <row r="131" spans="2:15" ht="16.5">
      <c r="B131" s="31" t="s">
        <v>829</v>
      </c>
      <c r="C131" s="31" t="s">
        <v>820</v>
      </c>
      <c r="D131" s="272" t="s">
        <v>824</v>
      </c>
      <c r="E131" s="290">
        <v>0</v>
      </c>
      <c r="F131" s="290">
        <v>0</v>
      </c>
      <c r="G131" s="290">
        <v>0</v>
      </c>
      <c r="H131" s="31"/>
    </row>
    <row r="132" spans="2:15" ht="16.5">
      <c r="B132" s="31" t="s">
        <v>831</v>
      </c>
      <c r="C132" s="31" t="s">
        <v>820</v>
      </c>
      <c r="D132" s="272" t="s">
        <v>824</v>
      </c>
      <c r="E132" s="290">
        <v>0</v>
      </c>
      <c r="F132" s="290">
        <v>0</v>
      </c>
      <c r="G132" s="290">
        <v>0</v>
      </c>
      <c r="H132" s="31"/>
    </row>
    <row r="133" spans="2:15" ht="16.5">
      <c r="B133" s="31" t="s">
        <v>865</v>
      </c>
      <c r="C133" s="31" t="s">
        <v>820</v>
      </c>
      <c r="D133" s="272" t="s">
        <v>824</v>
      </c>
      <c r="E133" s="290">
        <v>0</v>
      </c>
      <c r="F133" s="290">
        <v>0</v>
      </c>
      <c r="G133" s="290">
        <v>0</v>
      </c>
      <c r="H133" s="31"/>
    </row>
    <row r="134" spans="2:15" ht="16.5">
      <c r="B134" s="31" t="s">
        <v>834</v>
      </c>
      <c r="C134" s="31" t="s">
        <v>820</v>
      </c>
      <c r="D134" s="272" t="s">
        <v>824</v>
      </c>
      <c r="E134" s="290">
        <v>0</v>
      </c>
      <c r="F134" s="290">
        <v>0</v>
      </c>
      <c r="G134" s="290">
        <v>0</v>
      </c>
      <c r="H134" s="31"/>
    </row>
    <row r="135" spans="2:15" ht="16.5">
      <c r="B135" s="31" t="s">
        <v>836</v>
      </c>
      <c r="C135" s="31" t="s">
        <v>820</v>
      </c>
      <c r="D135" s="272" t="s">
        <v>824</v>
      </c>
      <c r="E135" s="290">
        <v>5.45</v>
      </c>
      <c r="F135" s="290">
        <v>5.45</v>
      </c>
      <c r="G135" s="290">
        <v>5.45</v>
      </c>
      <c r="H135" s="31" t="s">
        <v>866</v>
      </c>
    </row>
    <row r="136" spans="2:15" ht="16.5">
      <c r="B136" s="31" t="s">
        <v>837</v>
      </c>
      <c r="C136" s="31" t="s">
        <v>820</v>
      </c>
      <c r="D136" s="272" t="s">
        <v>824</v>
      </c>
      <c r="E136" s="290">
        <v>0</v>
      </c>
      <c r="F136" s="290">
        <v>0</v>
      </c>
      <c r="G136" s="290">
        <v>0</v>
      </c>
      <c r="H136" s="31"/>
    </row>
    <row r="137" spans="2:15" ht="16.5">
      <c r="B137" s="31" t="s">
        <v>839</v>
      </c>
      <c r="C137" s="31" t="s">
        <v>820</v>
      </c>
      <c r="D137" s="272" t="s">
        <v>824</v>
      </c>
      <c r="E137" s="290">
        <v>0</v>
      </c>
      <c r="F137" s="290">
        <v>0</v>
      </c>
      <c r="G137" s="290">
        <v>0</v>
      </c>
      <c r="H137" s="31"/>
    </row>
    <row r="138" spans="2:15" ht="16.5">
      <c r="B138" s="31" t="s">
        <v>841</v>
      </c>
      <c r="C138" s="31" t="s">
        <v>820</v>
      </c>
      <c r="D138" s="272" t="s">
        <v>824</v>
      </c>
      <c r="E138" s="290">
        <v>0</v>
      </c>
      <c r="F138" s="290">
        <v>0</v>
      </c>
      <c r="G138" s="290">
        <v>0</v>
      </c>
      <c r="H138" s="31"/>
      <c r="O138" s="90"/>
    </row>
    <row r="139" spans="2:15">
      <c r="O139" s="173"/>
    </row>
    <row r="140" spans="2:15">
      <c r="O140" s="173"/>
    </row>
    <row r="141" spans="2:15" ht="14.5" customHeight="1">
      <c r="B141" s="268"/>
      <c r="C141" s="269"/>
      <c r="D141" s="668" t="s">
        <v>867</v>
      </c>
      <c r="E141" s="669"/>
      <c r="F141" s="669"/>
      <c r="G141" s="669"/>
      <c r="H141" s="670"/>
      <c r="O141" s="173"/>
    </row>
    <row r="142" spans="2:15" ht="28.75" customHeight="1">
      <c r="B142" s="286" t="s">
        <v>812</v>
      </c>
      <c r="C142" s="286" t="s">
        <v>770</v>
      </c>
      <c r="D142" s="287" t="s">
        <v>813</v>
      </c>
      <c r="E142" s="288" t="s">
        <v>814</v>
      </c>
      <c r="F142" s="288" t="s">
        <v>815</v>
      </c>
      <c r="G142" s="289" t="s">
        <v>816</v>
      </c>
      <c r="H142" s="285" t="s">
        <v>817</v>
      </c>
      <c r="O142" s="173"/>
    </row>
    <row r="143" spans="2:15" ht="16.5">
      <c r="B143" s="31" t="s">
        <v>819</v>
      </c>
      <c r="C143" s="31" t="s">
        <v>820</v>
      </c>
      <c r="D143" s="272" t="s">
        <v>868</v>
      </c>
      <c r="E143" s="290">
        <v>25.45</v>
      </c>
      <c r="F143" s="290">
        <v>12.37</v>
      </c>
      <c r="G143" s="290">
        <v>56.65</v>
      </c>
      <c r="H143" s="31"/>
      <c r="J143" s="460"/>
      <c r="K143" s="460"/>
      <c r="L143" s="460"/>
      <c r="O143" s="173"/>
    </row>
    <row r="144" spans="2:15" ht="16.5">
      <c r="B144" s="31" t="s">
        <v>822</v>
      </c>
      <c r="C144" s="31" t="s">
        <v>820</v>
      </c>
      <c r="D144" s="272" t="s">
        <v>868</v>
      </c>
      <c r="E144" s="290">
        <v>18.7</v>
      </c>
      <c r="F144" s="290">
        <v>8.7200000000000006</v>
      </c>
      <c r="G144" s="290">
        <v>35.630000000000003</v>
      </c>
      <c r="H144" s="31"/>
      <c r="J144" s="460"/>
      <c r="K144" s="460"/>
      <c r="L144" s="460"/>
      <c r="O144" s="173"/>
    </row>
    <row r="145" spans="2:15" ht="16.5">
      <c r="B145" s="31" t="s">
        <v>823</v>
      </c>
      <c r="C145" s="31" t="s">
        <v>820</v>
      </c>
      <c r="D145" s="165" t="str">
        <f>D143</f>
        <v>NA</v>
      </c>
      <c r="E145" s="290" t="s">
        <v>825</v>
      </c>
      <c r="F145" s="290" t="s">
        <v>825</v>
      </c>
      <c r="G145" s="290" t="s">
        <v>825</v>
      </c>
      <c r="H145" s="166"/>
      <c r="J145" s="460"/>
      <c r="K145" s="460"/>
      <c r="L145" s="460"/>
    </row>
    <row r="146" spans="2:15" ht="16.5">
      <c r="B146" s="31" t="s">
        <v>827</v>
      </c>
      <c r="C146" s="31" t="s">
        <v>820</v>
      </c>
      <c r="D146" s="578" t="s">
        <v>868</v>
      </c>
      <c r="E146" s="290" t="s">
        <v>825</v>
      </c>
      <c r="F146" s="290" t="s">
        <v>825</v>
      </c>
      <c r="G146" s="290" t="s">
        <v>825</v>
      </c>
      <c r="H146" s="166"/>
      <c r="J146" s="460"/>
      <c r="K146" s="460"/>
      <c r="L146" s="460"/>
    </row>
    <row r="147" spans="2:15" ht="16.5">
      <c r="B147" s="31" t="s">
        <v>829</v>
      </c>
      <c r="C147" s="31" t="s">
        <v>820</v>
      </c>
      <c r="D147" s="272" t="s">
        <v>868</v>
      </c>
      <c r="E147" s="290">
        <v>-58.173718735759167</v>
      </c>
      <c r="F147" s="290">
        <v>-108.6395567481306</v>
      </c>
      <c r="G147" s="290">
        <v>-19.074085062299954</v>
      </c>
      <c r="H147" s="31"/>
      <c r="J147" s="460"/>
      <c r="K147" s="460"/>
      <c r="L147" s="460"/>
      <c r="O147" s="173"/>
    </row>
    <row r="148" spans="2:15" ht="16.5">
      <c r="B148" s="31" t="s">
        <v>831</v>
      </c>
      <c r="C148" s="31" t="s">
        <v>820</v>
      </c>
      <c r="D148" s="272" t="s">
        <v>868</v>
      </c>
      <c r="E148" s="290">
        <v>-59.427169146957603</v>
      </c>
      <c r="F148" s="290">
        <v>-98.876385094033765</v>
      </c>
      <c r="G148" s="290">
        <v>-43.24716895803666</v>
      </c>
      <c r="H148" s="31"/>
      <c r="J148" s="460"/>
      <c r="K148" s="460"/>
      <c r="L148" s="460"/>
      <c r="O148" s="173"/>
    </row>
    <row r="149" spans="2:15" ht="16.5">
      <c r="B149" s="31" t="s">
        <v>832</v>
      </c>
      <c r="C149" s="31" t="s">
        <v>820</v>
      </c>
      <c r="D149" s="272" t="s">
        <v>868</v>
      </c>
      <c r="E149" s="290">
        <v>-170.82902555329849</v>
      </c>
      <c r="F149" s="290">
        <v>-175.25342854950057</v>
      </c>
      <c r="G149" s="290">
        <v>-165.01774239650803</v>
      </c>
      <c r="H149" s="31"/>
      <c r="J149" s="460"/>
      <c r="K149" s="460"/>
      <c r="L149" s="460"/>
      <c r="O149" s="173"/>
    </row>
    <row r="150" spans="2:15" ht="16.5">
      <c r="B150" s="31" t="s">
        <v>834</v>
      </c>
      <c r="C150" s="31" t="s">
        <v>820</v>
      </c>
      <c r="D150" s="272" t="s">
        <v>868</v>
      </c>
      <c r="E150" s="290">
        <v>-109.92313668166969</v>
      </c>
      <c r="F150" s="290">
        <v>-112.90878869530447</v>
      </c>
      <c r="G150" s="290">
        <v>-101.51820373528219</v>
      </c>
      <c r="H150" s="31"/>
      <c r="J150" s="460"/>
      <c r="K150" s="460"/>
      <c r="L150" s="460"/>
      <c r="O150" s="173"/>
    </row>
    <row r="151" spans="2:15" ht="16.5">
      <c r="B151" s="31" t="s">
        <v>836</v>
      </c>
      <c r="C151" s="31" t="s">
        <v>820</v>
      </c>
      <c r="D151" s="272" t="s">
        <v>868</v>
      </c>
      <c r="E151" s="290">
        <v>21.67</v>
      </c>
      <c r="F151" s="290">
        <v>20.21</v>
      </c>
      <c r="G151" s="290">
        <v>31.6</v>
      </c>
      <c r="H151" s="31"/>
      <c r="J151" s="460"/>
      <c r="K151" s="460"/>
      <c r="L151" s="460"/>
      <c r="O151" s="173"/>
    </row>
    <row r="152" spans="2:15" ht="16.5">
      <c r="B152" s="31" t="s">
        <v>837</v>
      </c>
      <c r="C152" s="31" t="s">
        <v>820</v>
      </c>
      <c r="D152" s="272" t="s">
        <v>868</v>
      </c>
      <c r="E152" s="290">
        <v>60.123195045799974</v>
      </c>
      <c r="F152" s="290">
        <v>53.379459813971593</v>
      </c>
      <c r="G152" s="290">
        <v>70.44962920026849</v>
      </c>
      <c r="H152" s="31"/>
      <c r="J152" s="460"/>
      <c r="K152" s="460"/>
      <c r="L152" s="460"/>
      <c r="O152" s="173"/>
    </row>
    <row r="153" spans="2:15" ht="16.5">
      <c r="B153" s="31" t="s">
        <v>839</v>
      </c>
      <c r="C153" s="31" t="s">
        <v>820</v>
      </c>
      <c r="D153" s="272" t="s">
        <v>868</v>
      </c>
      <c r="E153" s="290">
        <v>7.7229406411817636E-2</v>
      </c>
      <c r="F153" s="290">
        <v>6.4961118123529352E-2</v>
      </c>
      <c r="G153" s="290">
        <v>7.7229406411817636E-2</v>
      </c>
      <c r="H153" s="31"/>
      <c r="J153" s="460"/>
      <c r="K153" s="460"/>
      <c r="L153" s="460"/>
      <c r="O153" s="173"/>
    </row>
    <row r="154" spans="2:15" ht="16.5">
      <c r="B154" s="31" t="s">
        <v>841</v>
      </c>
      <c r="C154" s="31" t="s">
        <v>820</v>
      </c>
      <c r="D154" s="272" t="s">
        <v>868</v>
      </c>
      <c r="E154" s="290">
        <v>6.9172209193677237</v>
      </c>
      <c r="F154" s="290">
        <v>3.4352410788730636</v>
      </c>
      <c r="G154" s="290">
        <v>8.4492746334787263</v>
      </c>
      <c r="H154" s="31"/>
      <c r="J154" s="460"/>
      <c r="K154" s="460"/>
      <c r="L154" s="460"/>
      <c r="O154" s="173"/>
    </row>
    <row r="155" spans="2:15">
      <c r="O155" s="173"/>
    </row>
    <row r="156" spans="2:15">
      <c r="O156" s="173"/>
    </row>
    <row r="157" spans="2:15">
      <c r="O157" s="173"/>
    </row>
  </sheetData>
  <dataConsolidate/>
  <customSheetViews>
    <customSheetView guid="{2D920366-22B2-4182-A65D-0EDBE614FB37}" showGridLines="0">
      <pageMargins left="0" right="0" top="0" bottom="0" header="0" footer="0"/>
      <pageSetup paperSize="9" orientation="portrait" r:id="rId1"/>
    </customSheetView>
    <customSheetView guid="{F468A2FD-7987-4A9D-8BAE-1AACE523607F}" showGridLines="0">
      <selection activeCell="D1" sqref="D1"/>
      <pageMargins left="0" right="0" top="0" bottom="0" header="0" footer="0"/>
      <pageSetup paperSize="9" orientation="portrait" r:id="rId2"/>
    </customSheetView>
    <customSheetView guid="{D97B1299-69D0-4EE0-B673-CCF74742F96B}">
      <selection activeCell="B10" sqref="B10"/>
      <pageMargins left="0" right="0" top="0" bottom="0" header="0" footer="0"/>
      <pageSetup paperSize="9" orientation="portrait" r:id="rId3"/>
    </customSheetView>
    <customSheetView guid="{3F0A4FBA-5323-448F-A023-B3E14C54064C}" showGridLines="0" topLeftCell="A140">
      <selection activeCell="D2" sqref="D2"/>
      <pageMargins left="0" right="0" top="0" bottom="0" header="0" footer="0"/>
      <pageSetup paperSize="9" orientation="portrait" r:id="rId4"/>
    </customSheetView>
    <customSheetView guid="{E6EFD927-84B2-4D06-BB59-59D9DF522DA2}" showGridLines="0">
      <selection activeCell="D1" sqref="D1"/>
      <pageMargins left="0" right="0" top="0" bottom="0" header="0" footer="0"/>
      <pageSetup paperSize="9" orientation="portrait" r:id="rId5"/>
    </customSheetView>
    <customSheetView guid="{0E935136-9A80-44B6-88D5-61E64D742049}" showGridLines="0">
      <selection activeCell="D1" sqref="D1"/>
      <pageMargins left="0" right="0" top="0" bottom="0" header="0" footer="0"/>
      <pageSetup paperSize="9" orientation="portrait" r:id="rId6"/>
    </customSheetView>
    <customSheetView guid="{1C16EB38-F785-4168-9938-104594734038}" showGridLines="0">
      <selection activeCell="D1" sqref="D1"/>
      <pageMargins left="0" right="0" top="0" bottom="0" header="0" footer="0"/>
      <pageSetup paperSize="9" orientation="portrait" r:id="rId7"/>
    </customSheetView>
    <customSheetView guid="{EECBF9DF-6D77-4263-85DA-71E40216BADD}" showGridLines="0">
      <selection activeCell="D1" sqref="D1"/>
      <pageMargins left="0" right="0" top="0" bottom="0" header="0" footer="0"/>
      <pageSetup paperSize="9" orientation="portrait" r:id="rId8"/>
    </customSheetView>
    <customSheetView guid="{F03309BC-D3FA-4CF2-833B-D6D9A95FE1FB}" showGridLines="0" topLeftCell="A140">
      <selection activeCell="D2" sqref="D2"/>
      <pageMargins left="0" right="0" top="0" bottom="0" header="0" footer="0"/>
      <pageSetup paperSize="9" orientation="portrait" r:id="rId9"/>
    </customSheetView>
  </customSheetViews>
  <mergeCells count="9">
    <mergeCell ref="D45:H45"/>
    <mergeCell ref="D29:H29"/>
    <mergeCell ref="D13:H13"/>
    <mergeCell ref="D141:H141"/>
    <mergeCell ref="D109:H109"/>
    <mergeCell ref="D93:H93"/>
    <mergeCell ref="D77:H77"/>
    <mergeCell ref="D61:H61"/>
    <mergeCell ref="D125:H125"/>
  </mergeCells>
  <dataValidations count="2">
    <dataValidation type="custom" allowBlank="1" showInputMessage="1" showErrorMessage="1" error="Please do not change these values" sqref="D13:H14 D15:D16 E142:G154" xr:uid="{1CB40847-4927-492B-871E-A5C6F226D270}">
      <formula1>"Please do not change these values"</formula1>
    </dataValidation>
    <dataValidation type="custom" allowBlank="1" showInputMessage="1" showErrorMessage="1" error="Please do not change" sqref="E139:G141 B121:H138 D17:D120 D139:D154 H139:H154 E15:G120 H20:H120 H15:H17 H18:H19" xr:uid="{2D8D547A-0B7E-493E-A237-AB2BE9633D08}">
      <formula1>"Please do not change"</formula1>
    </dataValidation>
  </dataValidations>
  <pageMargins left="0" right="0" top="0" bottom="0" header="0" footer="0"/>
  <pageSetup paperSize="9" orientation="portrait"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7E7B9-0C40-408E-8F3A-5990E03B1F9F}">
  <sheetPr codeName="Sheet3">
    <tabColor rgb="FFC7E8FA"/>
  </sheetPr>
  <dimension ref="B2:G350"/>
  <sheetViews>
    <sheetView showGridLines="0" zoomScaleNormal="100" workbookViewId="0"/>
  </sheetViews>
  <sheetFormatPr defaultRowHeight="14.5" outlineLevelRow="1"/>
  <cols>
    <col min="2" max="2" width="38.7265625" customWidth="1"/>
    <col min="3" max="3" width="19.81640625" customWidth="1"/>
    <col min="4" max="4" width="25.54296875" customWidth="1"/>
    <col min="5" max="5" width="25.453125" customWidth="1"/>
    <col min="6" max="6" width="18.1796875" customWidth="1"/>
    <col min="7" max="8" width="13.54296875" customWidth="1"/>
  </cols>
  <sheetData>
    <row r="2" spans="2:3" s="276" customFormat="1">
      <c r="B2" s="162" t="s">
        <v>518</v>
      </c>
    </row>
    <row r="3" spans="2:3" outlineLevel="1"/>
    <row r="4" spans="2:3" outlineLevel="1">
      <c r="B4" t="s">
        <v>519</v>
      </c>
    </row>
    <row r="5" spans="2:3" outlineLevel="1">
      <c r="B5" t="s">
        <v>520</v>
      </c>
    </row>
    <row r="6" spans="2:3" outlineLevel="1">
      <c r="B6" t="s">
        <v>521</v>
      </c>
    </row>
    <row r="7" spans="2:3" outlineLevel="1"/>
    <row r="8" spans="2:3" ht="16.5" outlineLevel="1">
      <c r="B8" s="286" t="s">
        <v>522</v>
      </c>
      <c r="C8" s="286" t="s">
        <v>523</v>
      </c>
    </row>
    <row r="9" spans="2:3" outlineLevel="1">
      <c r="B9" s="31" t="s">
        <v>524</v>
      </c>
      <c r="C9" s="589">
        <v>8.255936431840464</v>
      </c>
    </row>
    <row r="10" spans="2:3" outlineLevel="1">
      <c r="B10" s="31" t="s">
        <v>525</v>
      </c>
      <c r="C10" s="589">
        <v>23.747564426458535</v>
      </c>
    </row>
    <row r="11" spans="2:3" outlineLevel="1">
      <c r="B11" s="31" t="s">
        <v>526</v>
      </c>
      <c r="C11" s="584">
        <v>20.280020632329251</v>
      </c>
    </row>
    <row r="12" spans="2:3" outlineLevel="1">
      <c r="B12" s="31" t="s">
        <v>527</v>
      </c>
      <c r="C12" s="584">
        <v>7.4916126352251773</v>
      </c>
    </row>
    <row r="13" spans="2:3" outlineLevel="1">
      <c r="B13" s="31" t="s">
        <v>528</v>
      </c>
      <c r="C13" s="584">
        <v>9.1373664880547363</v>
      </c>
    </row>
    <row r="14" spans="2:3" outlineLevel="1">
      <c r="B14" s="31" t="s">
        <v>529</v>
      </c>
      <c r="C14" s="584">
        <v>9.0888772612375508</v>
      </c>
    </row>
    <row r="15" spans="2:3" outlineLevel="1">
      <c r="B15" s="31" t="s">
        <v>530</v>
      </c>
      <c r="C15" s="584">
        <v>7.5538816131761326</v>
      </c>
    </row>
    <row r="16" spans="2:3" outlineLevel="1">
      <c r="B16" s="31" t="s">
        <v>531</v>
      </c>
      <c r="C16" s="584">
        <v>6.3227902165669416</v>
      </c>
    </row>
    <row r="17" spans="2:3" outlineLevel="1">
      <c r="B17" s="31" t="s">
        <v>532</v>
      </c>
      <c r="C17" s="584">
        <v>5.0487152151867418</v>
      </c>
    </row>
    <row r="18" spans="2:3" outlineLevel="1">
      <c r="B18" s="31" t="s">
        <v>533</v>
      </c>
      <c r="C18" s="584">
        <v>9.2679413238550765</v>
      </c>
    </row>
    <row r="19" spans="2:3" outlineLevel="1">
      <c r="B19" s="31" t="s">
        <v>534</v>
      </c>
      <c r="C19" s="584">
        <v>8.8078078772842083</v>
      </c>
    </row>
    <row r="20" spans="2:3" outlineLevel="1">
      <c r="B20" s="31" t="s">
        <v>535</v>
      </c>
      <c r="C20" s="584">
        <v>8.9586068907621463</v>
      </c>
    </row>
    <row r="21" spans="2:3" outlineLevel="1">
      <c r="B21" s="31" t="s">
        <v>536</v>
      </c>
      <c r="C21" s="584">
        <v>10.300147091906457</v>
      </c>
    </row>
    <row r="22" spans="2:3" outlineLevel="1">
      <c r="B22" s="31" t="s">
        <v>537</v>
      </c>
      <c r="C22" s="584">
        <v>5.6797736303700219</v>
      </c>
    </row>
    <row r="23" spans="2:3" outlineLevel="1">
      <c r="B23" s="31" t="s">
        <v>538</v>
      </c>
      <c r="C23" s="584">
        <v>8.636411630007828</v>
      </c>
    </row>
    <row r="24" spans="2:3" outlineLevel="1">
      <c r="B24" s="31" t="s">
        <v>539</v>
      </c>
      <c r="C24" s="584">
        <v>18.355674502769592</v>
      </c>
    </row>
    <row r="25" spans="2:3" outlineLevel="1">
      <c r="B25" s="31" t="s">
        <v>540</v>
      </c>
      <c r="C25" s="584">
        <v>17.559055357186018</v>
      </c>
    </row>
    <row r="26" spans="2:3" outlineLevel="1">
      <c r="B26" s="31" t="s">
        <v>541</v>
      </c>
      <c r="C26" s="584">
        <v>10.18913890485446</v>
      </c>
    </row>
    <row r="27" spans="2:3" outlineLevel="1">
      <c r="B27" s="31" t="s">
        <v>542</v>
      </c>
      <c r="C27" s="584">
        <v>11.218195819786702</v>
      </c>
    </row>
    <row r="28" spans="2:3" outlineLevel="1">
      <c r="B28" s="31" t="s">
        <v>543</v>
      </c>
      <c r="C28" s="584">
        <v>6.9851773120044145</v>
      </c>
    </row>
    <row r="29" spans="2:3" outlineLevel="1">
      <c r="B29" s="31" t="s">
        <v>544</v>
      </c>
      <c r="C29" s="584">
        <v>8.2718181229715917</v>
      </c>
    </row>
    <row r="30" spans="2:3" outlineLevel="1">
      <c r="B30" s="31" t="s">
        <v>545</v>
      </c>
      <c r="C30" s="584">
        <v>6.1499464100826051</v>
      </c>
    </row>
    <row r="31" spans="2:3" outlineLevel="1">
      <c r="B31" s="31" t="s">
        <v>546</v>
      </c>
      <c r="C31" s="584">
        <v>7.8014998085016645</v>
      </c>
    </row>
    <row r="32" spans="2:3" outlineLevel="1">
      <c r="B32" s="31" t="s">
        <v>547</v>
      </c>
      <c r="C32" s="584">
        <v>8.9837610358971158</v>
      </c>
    </row>
    <row r="33" spans="2:3" outlineLevel="1">
      <c r="B33" s="31" t="s">
        <v>548</v>
      </c>
      <c r="C33" s="584">
        <v>29.24500695128069</v>
      </c>
    </row>
    <row r="34" spans="2:3" outlineLevel="1">
      <c r="B34" s="31" t="s">
        <v>549</v>
      </c>
      <c r="C34" s="584">
        <v>3.2765855344176278</v>
      </c>
    </row>
    <row r="35" spans="2:3" outlineLevel="1">
      <c r="B35" s="31" t="s">
        <v>550</v>
      </c>
      <c r="C35" s="584">
        <v>9.3168849973581782</v>
      </c>
    </row>
    <row r="36" spans="2:3" outlineLevel="1">
      <c r="B36" s="31" t="s">
        <v>551</v>
      </c>
      <c r="C36" s="584">
        <v>10.561313131393112</v>
      </c>
    </row>
    <row r="37" spans="2:3" outlineLevel="1">
      <c r="B37" s="31" t="s">
        <v>552</v>
      </c>
      <c r="C37" s="584">
        <v>6.4018827836904624</v>
      </c>
    </row>
    <row r="38" spans="2:3" outlineLevel="1">
      <c r="B38" s="31" t="s">
        <v>553</v>
      </c>
      <c r="C38" s="584">
        <v>7.4953971235670123</v>
      </c>
    </row>
    <row r="39" spans="2:3" outlineLevel="1">
      <c r="B39" s="31" t="s">
        <v>554</v>
      </c>
      <c r="C39" s="584">
        <v>13.198203101628851</v>
      </c>
    </row>
    <row r="40" spans="2:3" outlineLevel="1">
      <c r="B40" s="31" t="s">
        <v>555</v>
      </c>
      <c r="C40" s="584">
        <v>15.179241707941399</v>
      </c>
    </row>
    <row r="41" spans="2:3" outlineLevel="1">
      <c r="B41" s="31" t="s">
        <v>556</v>
      </c>
      <c r="C41" s="584">
        <v>7.7430131670760076</v>
      </c>
    </row>
    <row r="42" spans="2:3" outlineLevel="1">
      <c r="B42" s="31" t="s">
        <v>557</v>
      </c>
      <c r="C42" s="584">
        <v>5.2469568105010449</v>
      </c>
    </row>
    <row r="43" spans="2:3" outlineLevel="1">
      <c r="B43" s="31" t="s">
        <v>558</v>
      </c>
      <c r="C43" s="584">
        <v>5.857302643675915</v>
      </c>
    </row>
    <row r="44" spans="2:3" outlineLevel="1">
      <c r="B44" s="31" t="s">
        <v>559</v>
      </c>
      <c r="C44" s="584">
        <v>9.7914554973771644</v>
      </c>
    </row>
    <row r="45" spans="2:3" outlineLevel="1">
      <c r="B45" s="31" t="s">
        <v>560</v>
      </c>
      <c r="C45" s="584">
        <v>7.9488417730120204</v>
      </c>
    </row>
    <row r="46" spans="2:3" outlineLevel="1">
      <c r="B46" s="31" t="s">
        <v>561</v>
      </c>
      <c r="C46" s="584">
        <v>8.5878570167129968</v>
      </c>
    </row>
    <row r="47" spans="2:3" outlineLevel="1">
      <c r="B47" s="31" t="s">
        <v>562</v>
      </c>
      <c r="C47" s="584">
        <v>15.290502552560431</v>
      </c>
    </row>
    <row r="48" spans="2:3" outlineLevel="1">
      <c r="B48" s="31" t="s">
        <v>563</v>
      </c>
      <c r="C48" s="584">
        <v>17.065110394520765</v>
      </c>
    </row>
    <row r="49" spans="2:3" outlineLevel="1">
      <c r="B49" s="31" t="s">
        <v>564</v>
      </c>
      <c r="C49" s="584">
        <v>14.080221239878293</v>
      </c>
    </row>
    <row r="50" spans="2:3" outlineLevel="1">
      <c r="B50" s="31" t="s">
        <v>565</v>
      </c>
      <c r="C50" s="584">
        <v>6.0916177042336717</v>
      </c>
    </row>
    <row r="51" spans="2:3" outlineLevel="1">
      <c r="B51" s="31" t="s">
        <v>566</v>
      </c>
      <c r="C51" s="584">
        <v>7.7014706626450291</v>
      </c>
    </row>
    <row r="52" spans="2:3" outlineLevel="1">
      <c r="B52" s="31" t="s">
        <v>567</v>
      </c>
      <c r="C52" s="584">
        <v>6.3421427654698483</v>
      </c>
    </row>
    <row r="53" spans="2:3" outlineLevel="1">
      <c r="B53" s="31" t="s">
        <v>568</v>
      </c>
      <c r="C53" s="584">
        <v>9.6932288038181866</v>
      </c>
    </row>
    <row r="54" spans="2:3" outlineLevel="1">
      <c r="B54" s="31" t="s">
        <v>569</v>
      </c>
      <c r="C54" s="584">
        <v>6.9131470782196853</v>
      </c>
    </row>
    <row r="55" spans="2:3" outlineLevel="1">
      <c r="B55" s="31" t="s">
        <v>570</v>
      </c>
      <c r="C55" s="584">
        <v>9.4092921045286531</v>
      </c>
    </row>
    <row r="56" spans="2:3" outlineLevel="1">
      <c r="B56" s="31" t="s">
        <v>571</v>
      </c>
      <c r="C56" s="584">
        <v>8.9015445155184665</v>
      </c>
    </row>
    <row r="57" spans="2:3" outlineLevel="1">
      <c r="B57" s="31" t="s">
        <v>572</v>
      </c>
      <c r="C57" s="584">
        <v>11.004351185277391</v>
      </c>
    </row>
    <row r="58" spans="2:3" outlineLevel="1">
      <c r="B58" s="31" t="s">
        <v>573</v>
      </c>
      <c r="C58" s="584">
        <v>9.7469666063110871</v>
      </c>
    </row>
    <row r="59" spans="2:3" outlineLevel="1">
      <c r="B59" s="31" t="s">
        <v>574</v>
      </c>
      <c r="C59" s="584">
        <v>12.888330619842289</v>
      </c>
    </row>
    <row r="60" spans="2:3" outlineLevel="1">
      <c r="B60" s="31" t="s">
        <v>575</v>
      </c>
      <c r="C60" s="584">
        <v>14.784621688506521</v>
      </c>
    </row>
    <row r="61" spans="2:3" outlineLevel="1">
      <c r="B61" s="31" t="s">
        <v>576</v>
      </c>
      <c r="C61" s="584">
        <v>9.859628132768524</v>
      </c>
    </row>
    <row r="62" spans="2:3" outlineLevel="1">
      <c r="B62" s="31" t="s">
        <v>577</v>
      </c>
      <c r="C62" s="584">
        <v>9.3413187165417497</v>
      </c>
    </row>
    <row r="63" spans="2:3" outlineLevel="1">
      <c r="B63" s="31" t="s">
        <v>578</v>
      </c>
      <c r="C63" s="584">
        <v>20.158077010024105</v>
      </c>
    </row>
    <row r="64" spans="2:3" outlineLevel="1">
      <c r="B64" s="31" t="s">
        <v>579</v>
      </c>
      <c r="C64" s="584">
        <v>3.9122184113613687</v>
      </c>
    </row>
    <row r="65" spans="2:3" outlineLevel="1">
      <c r="B65" s="31" t="s">
        <v>580</v>
      </c>
      <c r="C65" s="584">
        <v>8.1932765151195319</v>
      </c>
    </row>
    <row r="66" spans="2:3" outlineLevel="1">
      <c r="B66" s="31" t="s">
        <v>581</v>
      </c>
      <c r="C66" s="584">
        <v>11.336251456737758</v>
      </c>
    </row>
    <row r="67" spans="2:3" outlineLevel="1">
      <c r="B67" s="31" t="s">
        <v>582</v>
      </c>
      <c r="C67" s="584">
        <v>12.5581261248843</v>
      </c>
    </row>
    <row r="68" spans="2:3" outlineLevel="1">
      <c r="B68" s="31" t="s">
        <v>583</v>
      </c>
      <c r="C68" s="584">
        <v>5.5950980272170456</v>
      </c>
    </row>
    <row r="69" spans="2:3" outlineLevel="1">
      <c r="B69" s="31" t="s">
        <v>584</v>
      </c>
      <c r="C69" s="584">
        <v>11.668833650637051</v>
      </c>
    </row>
    <row r="70" spans="2:3" outlineLevel="1">
      <c r="B70" s="31" t="s">
        <v>585</v>
      </c>
      <c r="C70" s="584">
        <v>12.210437421303073</v>
      </c>
    </row>
    <row r="71" spans="2:3" outlineLevel="1">
      <c r="B71" s="31" t="s">
        <v>586</v>
      </c>
      <c r="C71" s="584">
        <v>8.4746448820039841</v>
      </c>
    </row>
    <row r="72" spans="2:3" outlineLevel="1">
      <c r="B72" s="31" t="s">
        <v>587</v>
      </c>
      <c r="C72" s="584">
        <v>10.933989447671152</v>
      </c>
    </row>
    <row r="73" spans="2:3" outlineLevel="1">
      <c r="B73" s="31" t="s">
        <v>588</v>
      </c>
      <c r="C73" s="584">
        <v>11.577458728093028</v>
      </c>
    </row>
    <row r="74" spans="2:3" outlineLevel="1">
      <c r="B74" s="31" t="s">
        <v>589</v>
      </c>
      <c r="C74" s="584">
        <v>8.2015527049185657</v>
      </c>
    </row>
    <row r="75" spans="2:3" outlineLevel="1">
      <c r="B75" s="31" t="s">
        <v>590</v>
      </c>
      <c r="C75" s="584">
        <v>6.4896557824641485</v>
      </c>
    </row>
    <row r="76" spans="2:3" outlineLevel="1">
      <c r="B76" s="31" t="s">
        <v>591</v>
      </c>
      <c r="C76" s="584">
        <v>10.569243876899648</v>
      </c>
    </row>
    <row r="77" spans="2:3" outlineLevel="1">
      <c r="B77" s="31" t="s">
        <v>592</v>
      </c>
      <c r="C77" s="584">
        <v>7.4491325925597369</v>
      </c>
    </row>
    <row r="78" spans="2:3" outlineLevel="1">
      <c r="B78" s="31" t="s">
        <v>593</v>
      </c>
      <c r="C78" s="584">
        <v>9.7410706976040302</v>
      </c>
    </row>
    <row r="79" spans="2:3" outlineLevel="1">
      <c r="B79" s="31" t="s">
        <v>594</v>
      </c>
      <c r="C79" s="584">
        <v>4.6349558436838585</v>
      </c>
    </row>
    <row r="80" spans="2:3" outlineLevel="1">
      <c r="B80" s="31" t="s">
        <v>595</v>
      </c>
      <c r="C80" s="584">
        <v>7.6861885060485875</v>
      </c>
    </row>
    <row r="81" spans="2:3" outlineLevel="1">
      <c r="B81" s="31" t="s">
        <v>596</v>
      </c>
      <c r="C81" s="584">
        <v>4.1040557532386686</v>
      </c>
    </row>
    <row r="82" spans="2:3" outlineLevel="1">
      <c r="B82" s="31" t="s">
        <v>597</v>
      </c>
      <c r="C82" s="584">
        <v>14.86285287980289</v>
      </c>
    </row>
    <row r="83" spans="2:3" outlineLevel="1">
      <c r="B83" s="31" t="s">
        <v>598</v>
      </c>
      <c r="C83" s="584">
        <v>8.2483929442665662</v>
      </c>
    </row>
    <row r="84" spans="2:3" outlineLevel="1">
      <c r="B84" s="31" t="s">
        <v>599</v>
      </c>
      <c r="C84" s="584">
        <v>29.778384899099677</v>
      </c>
    </row>
    <row r="85" spans="2:3" outlineLevel="1">
      <c r="B85" s="31" t="s">
        <v>600</v>
      </c>
      <c r="C85" s="584">
        <v>9.3902782942322531</v>
      </c>
    </row>
    <row r="86" spans="2:3" outlineLevel="1">
      <c r="B86" s="31" t="s">
        <v>601</v>
      </c>
      <c r="C86" s="584">
        <v>5.1070292439992064</v>
      </c>
    </row>
    <row r="87" spans="2:3" outlineLevel="1">
      <c r="B87" s="31" t="s">
        <v>602</v>
      </c>
      <c r="C87" s="584">
        <v>14.261932587961804</v>
      </c>
    </row>
    <row r="88" spans="2:3" outlineLevel="1">
      <c r="B88" s="31" t="s">
        <v>603</v>
      </c>
      <c r="C88" s="584">
        <v>15.394146232239365</v>
      </c>
    </row>
    <row r="89" spans="2:3" outlineLevel="1">
      <c r="B89" s="31" t="s">
        <v>604</v>
      </c>
      <c r="C89" s="584">
        <v>8.4173446821615805</v>
      </c>
    </row>
    <row r="90" spans="2:3" outlineLevel="1">
      <c r="B90" s="31" t="s">
        <v>605</v>
      </c>
      <c r="C90" s="584">
        <v>15.880758435418427</v>
      </c>
    </row>
    <row r="91" spans="2:3" outlineLevel="1">
      <c r="B91" s="31" t="s">
        <v>606</v>
      </c>
      <c r="C91" s="584">
        <v>11.817109529173552</v>
      </c>
    </row>
    <row r="92" spans="2:3" outlineLevel="1">
      <c r="B92" s="31" t="s">
        <v>607</v>
      </c>
      <c r="C92" s="584">
        <v>7.1461061064503282</v>
      </c>
    </row>
    <row r="93" spans="2:3" outlineLevel="1">
      <c r="B93" s="31" t="s">
        <v>608</v>
      </c>
      <c r="C93" s="584">
        <v>7.9498708464241448</v>
      </c>
    </row>
    <row r="94" spans="2:3" outlineLevel="1">
      <c r="B94" s="31" t="s">
        <v>609</v>
      </c>
      <c r="C94" s="584">
        <v>11.271141939175058</v>
      </c>
    </row>
    <row r="95" spans="2:3" outlineLevel="1">
      <c r="B95" s="31" t="s">
        <v>610</v>
      </c>
      <c r="C95" s="584">
        <v>27.437729990973658</v>
      </c>
    </row>
    <row r="96" spans="2:3" outlineLevel="1">
      <c r="B96" s="31" t="s">
        <v>611</v>
      </c>
      <c r="C96" s="584">
        <v>20.261836228725301</v>
      </c>
    </row>
    <row r="97" spans="2:5" outlineLevel="1">
      <c r="B97" s="31" t="s">
        <v>612</v>
      </c>
      <c r="C97" s="584">
        <v>8.8462345964250382</v>
      </c>
    </row>
    <row r="98" spans="2:5" outlineLevel="1">
      <c r="B98" s="31" t="s">
        <v>613</v>
      </c>
      <c r="C98" s="584">
        <v>26.913460926528298</v>
      </c>
    </row>
    <row r="99" spans="2:5" outlineLevel="1"/>
    <row r="101" spans="2:5" s="276" customFormat="1" ht="15" customHeight="1">
      <c r="B101" s="162" t="s">
        <v>614</v>
      </c>
    </row>
    <row r="102" spans="2:5" outlineLevel="1"/>
    <row r="103" spans="2:5" outlineLevel="1">
      <c r="B103" t="s">
        <v>615</v>
      </c>
    </row>
    <row r="104" spans="2:5" outlineLevel="1">
      <c r="B104" t="s">
        <v>616</v>
      </c>
    </row>
    <row r="105" spans="2:5" ht="14.5" customHeight="1" outlineLevel="1">
      <c r="B105" t="s">
        <v>617</v>
      </c>
    </row>
    <row r="106" spans="2:5" ht="14.5" customHeight="1" outlineLevel="1"/>
    <row r="107" spans="2:5" ht="16.5" outlineLevel="1">
      <c r="B107" s="286" t="s">
        <v>618</v>
      </c>
      <c r="C107" s="614" t="s">
        <v>619</v>
      </c>
      <c r="D107" s="614" t="s">
        <v>620</v>
      </c>
      <c r="E107" s="286" t="s">
        <v>621</v>
      </c>
    </row>
    <row r="108" spans="2:5" outlineLevel="1">
      <c r="B108" s="31" t="s">
        <v>622</v>
      </c>
      <c r="C108" s="584">
        <v>0</v>
      </c>
      <c r="D108" s="584">
        <v>0</v>
      </c>
      <c r="E108" s="31" t="s">
        <v>623</v>
      </c>
    </row>
    <row r="109" spans="2:5" outlineLevel="1">
      <c r="B109" s="31" t="s">
        <v>624</v>
      </c>
      <c r="C109" s="584">
        <v>0</v>
      </c>
      <c r="D109" s="584">
        <v>0</v>
      </c>
      <c r="E109" s="31" t="s">
        <v>623</v>
      </c>
    </row>
    <row r="110" spans="2:5" outlineLevel="1">
      <c r="B110" s="31" t="s">
        <v>625</v>
      </c>
      <c r="C110" s="584">
        <v>0</v>
      </c>
      <c r="D110" s="584">
        <v>0</v>
      </c>
      <c r="E110" s="31" t="s">
        <v>626</v>
      </c>
    </row>
    <row r="111" spans="2:5" outlineLevel="1">
      <c r="B111" s="31" t="s">
        <v>627</v>
      </c>
      <c r="C111" s="584">
        <v>0</v>
      </c>
      <c r="D111" s="584">
        <v>0</v>
      </c>
      <c r="E111" s="31" t="s">
        <v>628</v>
      </c>
    </row>
    <row r="112" spans="2:5" outlineLevel="1">
      <c r="B112" s="31" t="s">
        <v>629</v>
      </c>
      <c r="C112" s="584">
        <v>0</v>
      </c>
      <c r="D112" s="584">
        <v>0</v>
      </c>
      <c r="E112" s="31" t="s">
        <v>626</v>
      </c>
    </row>
    <row r="113" spans="2:5" outlineLevel="1">
      <c r="B113" s="31" t="s">
        <v>630</v>
      </c>
      <c r="C113" s="584">
        <v>0</v>
      </c>
      <c r="D113" s="584">
        <v>0</v>
      </c>
      <c r="E113" s="31" t="s">
        <v>631</v>
      </c>
    </row>
    <row r="114" spans="2:5" outlineLevel="1">
      <c r="B114" s="31" t="s">
        <v>632</v>
      </c>
      <c r="C114" s="584">
        <v>471.6</v>
      </c>
      <c r="D114" s="584">
        <v>131</v>
      </c>
      <c r="E114" s="31" t="s">
        <v>633</v>
      </c>
    </row>
    <row r="115" spans="2:5" outlineLevel="1">
      <c r="B115" s="31" t="s">
        <v>634</v>
      </c>
      <c r="C115" s="584">
        <v>153.4</v>
      </c>
      <c r="D115" s="584">
        <v>42.6</v>
      </c>
      <c r="E115" s="31" t="s">
        <v>635</v>
      </c>
    </row>
    <row r="116" spans="2:5" outlineLevel="1">
      <c r="B116" s="31" t="s">
        <v>636</v>
      </c>
      <c r="C116" s="584">
        <v>811.1</v>
      </c>
      <c r="D116" s="584">
        <v>225.3</v>
      </c>
      <c r="E116" s="31" t="s">
        <v>637</v>
      </c>
    </row>
    <row r="117" spans="2:5" outlineLevel="1">
      <c r="B117" s="31" t="s">
        <v>638</v>
      </c>
      <c r="C117" s="584">
        <v>1009.8</v>
      </c>
      <c r="D117" s="584">
        <v>280.5</v>
      </c>
      <c r="E117" s="31" t="s">
        <v>639</v>
      </c>
    </row>
    <row r="118" spans="2:5" outlineLevel="1">
      <c r="B118" s="31" t="s">
        <v>640</v>
      </c>
      <c r="C118" s="584">
        <v>247</v>
      </c>
      <c r="D118" s="584">
        <v>68.599999999999994</v>
      </c>
      <c r="E118" s="31" t="s">
        <v>641</v>
      </c>
    </row>
    <row r="119" spans="2:5" outlineLevel="1">
      <c r="B119" s="31" t="s">
        <v>642</v>
      </c>
      <c r="C119" s="584">
        <v>14</v>
      </c>
      <c r="D119" s="584">
        <v>3.9</v>
      </c>
      <c r="E119" s="31" t="s">
        <v>643</v>
      </c>
    </row>
    <row r="120" spans="2:5" outlineLevel="1"/>
    <row r="122" spans="2:5" s="276" customFormat="1">
      <c r="B122" s="162" t="s">
        <v>644</v>
      </c>
    </row>
    <row r="123" spans="2:5" outlineLevel="1"/>
    <row r="124" spans="2:5" outlineLevel="1">
      <c r="B124" t="s">
        <v>645</v>
      </c>
    </row>
    <row r="125" spans="2:5" outlineLevel="1">
      <c r="B125" t="s">
        <v>646</v>
      </c>
    </row>
    <row r="126" spans="2:5" outlineLevel="1">
      <c r="B126" t="s">
        <v>647</v>
      </c>
    </row>
    <row r="127" spans="2:5" outlineLevel="1">
      <c r="B127" t="s">
        <v>648</v>
      </c>
    </row>
    <row r="128" spans="2:5" outlineLevel="1"/>
    <row r="129" spans="2:7" ht="16.5" outlineLevel="1">
      <c r="B129" s="286" t="s">
        <v>649</v>
      </c>
      <c r="C129" s="613" t="s">
        <v>650</v>
      </c>
      <c r="D129" s="613" t="s">
        <v>651</v>
      </c>
    </row>
    <row r="130" spans="2:7" outlineLevel="1">
      <c r="B130" s="333">
        <f>Units!U120</f>
        <v>2023</v>
      </c>
      <c r="C130" s="31">
        <v>140.43</v>
      </c>
      <c r="D130" s="31">
        <v>39.01</v>
      </c>
    </row>
    <row r="131" spans="2:7" outlineLevel="1">
      <c r="B131" s="333">
        <f>Units!U121</f>
        <v>2024</v>
      </c>
      <c r="C131" s="31">
        <v>145.96</v>
      </c>
      <c r="D131" s="31">
        <v>40.549999999999997</v>
      </c>
      <c r="F131" s="622"/>
    </row>
    <row r="132" spans="2:7" outlineLevel="1">
      <c r="B132" s="333">
        <f>Units!U122</f>
        <v>2025</v>
      </c>
      <c r="C132" s="31">
        <v>126.65</v>
      </c>
      <c r="D132" s="31">
        <v>35.18</v>
      </c>
      <c r="F132" s="622"/>
    </row>
    <row r="133" spans="2:7" outlineLevel="1">
      <c r="B133" s="333">
        <f>Units!U123</f>
        <v>2026</v>
      </c>
      <c r="C133" s="31">
        <v>94.59</v>
      </c>
      <c r="D133" s="31">
        <v>26.28</v>
      </c>
      <c r="F133" s="622"/>
    </row>
    <row r="134" spans="2:7" outlineLevel="1">
      <c r="B134" s="333">
        <f>Units!U124</f>
        <v>2027</v>
      </c>
      <c r="C134" s="31">
        <v>70.489999999999995</v>
      </c>
      <c r="D134" s="31">
        <v>19.579999999999998</v>
      </c>
      <c r="F134" s="622"/>
      <c r="G134" s="460"/>
    </row>
    <row r="135" spans="2:7" outlineLevel="1">
      <c r="B135" s="333">
        <f>Units!U125</f>
        <v>2028</v>
      </c>
      <c r="C135" s="31">
        <v>61.1</v>
      </c>
      <c r="D135" s="31">
        <v>16.97</v>
      </c>
      <c r="F135" s="622"/>
    </row>
    <row r="136" spans="2:7" outlineLevel="1">
      <c r="B136" s="333">
        <f>Units!U126</f>
        <v>2029</v>
      </c>
      <c r="C136" s="31">
        <v>51.62</v>
      </c>
      <c r="D136" s="31">
        <v>14.34</v>
      </c>
      <c r="F136" s="622"/>
    </row>
    <row r="137" spans="2:7" outlineLevel="1">
      <c r="B137" s="333">
        <f>Units!U127</f>
        <v>2030</v>
      </c>
      <c r="C137" s="31">
        <v>47.62</v>
      </c>
      <c r="D137" s="31">
        <v>13.23</v>
      </c>
      <c r="F137" s="622"/>
    </row>
    <row r="138" spans="2:7" outlineLevel="1">
      <c r="B138" s="333">
        <f>Units!U128</f>
        <v>2031</v>
      </c>
      <c r="C138" s="31">
        <v>40.01</v>
      </c>
      <c r="D138" s="31">
        <v>11.11</v>
      </c>
      <c r="F138" s="622"/>
    </row>
    <row r="139" spans="2:7" outlineLevel="1">
      <c r="B139" s="333">
        <f>Units!U129</f>
        <v>2032</v>
      </c>
      <c r="C139" s="31">
        <v>31.51</v>
      </c>
      <c r="D139" s="31">
        <v>8.75</v>
      </c>
      <c r="F139" s="622"/>
    </row>
    <row r="140" spans="2:7" outlineLevel="1">
      <c r="B140" s="333">
        <f>Units!U130</f>
        <v>2033</v>
      </c>
      <c r="C140" s="31">
        <v>25.01</v>
      </c>
      <c r="D140" s="31">
        <v>6.95</v>
      </c>
      <c r="F140" s="622"/>
    </row>
    <row r="141" spans="2:7" outlineLevel="1">
      <c r="B141" s="333">
        <f>Units!U131</f>
        <v>2034</v>
      </c>
      <c r="C141" s="31">
        <v>20.12</v>
      </c>
      <c r="D141" s="31">
        <v>5.59</v>
      </c>
      <c r="F141" s="622"/>
    </row>
    <row r="142" spans="2:7" outlineLevel="1">
      <c r="B142" s="333">
        <f>Units!U132</f>
        <v>2035</v>
      </c>
      <c r="C142" s="31">
        <v>19.41</v>
      </c>
      <c r="D142" s="31">
        <v>5.39</v>
      </c>
      <c r="F142" s="622"/>
    </row>
    <row r="143" spans="2:7" outlineLevel="1">
      <c r="B143" s="333">
        <f>Units!U133</f>
        <v>2036</v>
      </c>
      <c r="C143" s="31">
        <v>18.91</v>
      </c>
      <c r="D143" s="31">
        <v>5.25</v>
      </c>
      <c r="F143" s="622"/>
    </row>
    <row r="144" spans="2:7" outlineLevel="1">
      <c r="B144" s="333">
        <f>Units!U134</f>
        <v>2037</v>
      </c>
      <c r="C144" s="31">
        <v>17.670000000000002</v>
      </c>
      <c r="D144" s="31">
        <v>4.91</v>
      </c>
      <c r="F144" s="622"/>
    </row>
    <row r="145" spans="2:6" outlineLevel="1">
      <c r="B145" s="333">
        <f>Units!U135</f>
        <v>2038</v>
      </c>
      <c r="C145" s="31">
        <v>17.239999999999998</v>
      </c>
      <c r="D145" s="31">
        <v>4.79</v>
      </c>
      <c r="F145" s="622"/>
    </row>
    <row r="146" spans="2:6" outlineLevel="1">
      <c r="B146" s="333">
        <f>Units!U136</f>
        <v>2039</v>
      </c>
      <c r="C146" s="31">
        <v>16.21</v>
      </c>
      <c r="D146" s="31">
        <v>4.5</v>
      </c>
      <c r="F146" s="622"/>
    </row>
    <row r="147" spans="2:6" outlineLevel="1">
      <c r="B147" s="333">
        <f>Units!U137</f>
        <v>2040</v>
      </c>
      <c r="C147" s="31">
        <v>15.45</v>
      </c>
      <c r="D147" s="31">
        <v>4.29</v>
      </c>
      <c r="F147" s="622"/>
    </row>
    <row r="148" spans="2:6" outlineLevel="1">
      <c r="B148" s="333">
        <f>Units!U138</f>
        <v>2041</v>
      </c>
      <c r="C148" s="31">
        <v>14.72</v>
      </c>
      <c r="D148" s="31">
        <v>4.09</v>
      </c>
      <c r="F148" s="622"/>
    </row>
    <row r="149" spans="2:6" outlineLevel="1">
      <c r="B149" s="333">
        <f>Units!U139</f>
        <v>2042</v>
      </c>
      <c r="C149" s="31">
        <v>13.98</v>
      </c>
      <c r="D149" s="31">
        <v>3.88</v>
      </c>
      <c r="F149" s="622"/>
    </row>
    <row r="150" spans="2:6" outlineLevel="1">
      <c r="B150" s="333">
        <f>Units!U140</f>
        <v>2043</v>
      </c>
      <c r="C150" s="31">
        <v>8.8000000000000007</v>
      </c>
      <c r="D150" s="31">
        <v>2.44</v>
      </c>
      <c r="F150" s="622"/>
    </row>
    <row r="151" spans="2:6" outlineLevel="1">
      <c r="B151" s="333">
        <f>Units!U141</f>
        <v>2044</v>
      </c>
      <c r="C151" s="31">
        <v>8.18</v>
      </c>
      <c r="D151" s="31">
        <v>2.27</v>
      </c>
      <c r="F151" s="622"/>
    </row>
    <row r="152" spans="2:6" outlineLevel="1">
      <c r="B152" s="333">
        <f>Units!U142</f>
        <v>2045</v>
      </c>
      <c r="C152" s="31">
        <v>7.6</v>
      </c>
      <c r="D152" s="31">
        <v>2.11</v>
      </c>
      <c r="F152" s="622"/>
    </row>
    <row r="153" spans="2:6" outlineLevel="1">
      <c r="B153" s="333">
        <f>Units!U143</f>
        <v>2046</v>
      </c>
      <c r="C153" s="31">
        <v>7.43</v>
      </c>
      <c r="D153" s="31">
        <v>2.06</v>
      </c>
      <c r="F153" s="622"/>
    </row>
    <row r="154" spans="2:6" outlineLevel="1">
      <c r="B154" s="333">
        <f>Units!U144</f>
        <v>2047</v>
      </c>
      <c r="C154" s="31">
        <v>5.14</v>
      </c>
      <c r="D154" s="31">
        <v>1.43</v>
      </c>
      <c r="F154" s="622"/>
    </row>
    <row r="155" spans="2:6" outlineLevel="1">
      <c r="B155" s="333">
        <f>Units!U145</f>
        <v>2048</v>
      </c>
      <c r="C155" s="31">
        <v>4.99</v>
      </c>
      <c r="D155" s="31">
        <v>1.39</v>
      </c>
      <c r="F155" s="622"/>
    </row>
    <row r="156" spans="2:6" outlineLevel="1">
      <c r="B156" s="333">
        <f>Units!U146</f>
        <v>2049</v>
      </c>
      <c r="C156" s="31">
        <v>3.17</v>
      </c>
      <c r="D156" s="31">
        <v>0.88</v>
      </c>
      <c r="F156" s="622"/>
    </row>
    <row r="157" spans="2:6" outlineLevel="1">
      <c r="B157" s="333">
        <f>Units!U147</f>
        <v>2050</v>
      </c>
      <c r="C157" s="31">
        <v>2.41</v>
      </c>
      <c r="D157" s="31">
        <v>0.67</v>
      </c>
      <c r="F157" s="622"/>
    </row>
    <row r="158" spans="2:6" outlineLevel="1"/>
    <row r="160" spans="2:6" s="276" customFormat="1" ht="15" customHeight="1">
      <c r="B160" s="162" t="s">
        <v>652</v>
      </c>
    </row>
    <row r="161" spans="2:5" outlineLevel="1"/>
    <row r="162" spans="2:5" outlineLevel="1">
      <c r="B162" t="s">
        <v>653</v>
      </c>
    </row>
    <row r="163" spans="2:5" outlineLevel="1">
      <c r="B163" t="s">
        <v>654</v>
      </c>
    </row>
    <row r="164" spans="2:5" outlineLevel="1">
      <c r="B164" t="s">
        <v>655</v>
      </c>
    </row>
    <row r="165" spans="2:5" outlineLevel="1"/>
    <row r="166" spans="2:5" ht="29" outlineLevel="1">
      <c r="B166" s="286" t="s">
        <v>656</v>
      </c>
      <c r="C166" s="617" t="s">
        <v>657</v>
      </c>
      <c r="D166" s="614" t="s">
        <v>658</v>
      </c>
      <c r="E166" s="286" t="s">
        <v>621</v>
      </c>
    </row>
    <row r="167" spans="2:5" outlineLevel="1">
      <c r="B167" s="31" t="s">
        <v>659</v>
      </c>
      <c r="C167" s="618">
        <v>0.04</v>
      </c>
      <c r="D167" s="587">
        <v>2.6999999999999999E-5</v>
      </c>
      <c r="E167" s="31" t="s">
        <v>660</v>
      </c>
    </row>
    <row r="168" spans="2:5" outlineLevel="1">
      <c r="B168" s="31" t="s">
        <v>661</v>
      </c>
      <c r="C168" s="618">
        <v>0.11</v>
      </c>
      <c r="D168" s="587">
        <v>7.2000000000000002E-5</v>
      </c>
      <c r="E168" t="s">
        <v>662</v>
      </c>
    </row>
    <row r="169" spans="2:5" outlineLevel="1">
      <c r="B169" s="31" t="s">
        <v>663</v>
      </c>
      <c r="C169" s="618">
        <v>0.2</v>
      </c>
      <c r="D169" s="586">
        <v>1.2999999999999999E-4</v>
      </c>
      <c r="E169" s="31" t="s">
        <v>660</v>
      </c>
    </row>
    <row r="170" spans="2:5" outlineLevel="1">
      <c r="B170" s="31" t="s">
        <v>664</v>
      </c>
      <c r="C170" s="618">
        <v>0.25</v>
      </c>
      <c r="D170" s="586">
        <v>1.4999999999999999E-4</v>
      </c>
      <c r="E170" s="31" t="s">
        <v>660</v>
      </c>
    </row>
    <row r="171" spans="2:5" outlineLevel="1">
      <c r="B171" s="31" t="s">
        <v>665</v>
      </c>
      <c r="C171" s="618">
        <v>0.04</v>
      </c>
      <c r="D171" s="587">
        <v>2.6999999999999999E-5</v>
      </c>
      <c r="E171" s="31" t="s">
        <v>660</v>
      </c>
    </row>
    <row r="172" spans="2:5" outlineLevel="1">
      <c r="B172" s="31" t="s">
        <v>666</v>
      </c>
      <c r="C172" s="618">
        <v>5.0000000000000001E-3</v>
      </c>
      <c r="D172" s="587">
        <v>3.4000000000000001E-6</v>
      </c>
      <c r="E172" s="31" t="s">
        <v>660</v>
      </c>
    </row>
    <row r="173" spans="2:5" outlineLevel="1">
      <c r="B173" s="31" t="s">
        <v>667</v>
      </c>
      <c r="C173" s="618">
        <v>6.0000000000000001E-3</v>
      </c>
      <c r="D173" s="587">
        <v>4.1999999999999996E-6</v>
      </c>
      <c r="E173" t="s">
        <v>662</v>
      </c>
    </row>
    <row r="174" spans="2:5" outlineLevel="1">
      <c r="B174" s="31" t="s">
        <v>668</v>
      </c>
      <c r="C174" s="618">
        <v>0.3</v>
      </c>
      <c r="D174" s="586">
        <v>2.1000000000000001E-4</v>
      </c>
      <c r="E174" s="31" t="s">
        <v>669</v>
      </c>
    </row>
    <row r="175" spans="2:5" outlineLevel="1">
      <c r="B175" s="31" t="s">
        <v>670</v>
      </c>
      <c r="C175" s="618">
        <v>0.3</v>
      </c>
      <c r="D175" s="586">
        <v>2.1000000000000001E-4</v>
      </c>
      <c r="E175" s="31" t="s">
        <v>669</v>
      </c>
    </row>
    <row r="176" spans="2:5" outlineLevel="1">
      <c r="B176" s="31" t="s">
        <v>671</v>
      </c>
      <c r="C176" s="619" t="s">
        <v>672</v>
      </c>
      <c r="D176" s="585">
        <v>7.4999999999999997E-2</v>
      </c>
      <c r="E176" t="s">
        <v>662</v>
      </c>
    </row>
    <row r="177" spans="2:7" outlineLevel="1">
      <c r="B177" s="31" t="s">
        <v>673</v>
      </c>
      <c r="C177" s="618">
        <v>0</v>
      </c>
      <c r="D177" s="620">
        <v>0</v>
      </c>
      <c r="E177" s="31" t="s">
        <v>674</v>
      </c>
    </row>
    <row r="178" spans="2:7" outlineLevel="1">
      <c r="B178" s="31" t="s">
        <v>675</v>
      </c>
      <c r="C178" s="618">
        <v>0.3</v>
      </c>
      <c r="D178" s="586">
        <v>2.1000000000000001E-4</v>
      </c>
      <c r="E178" s="31" t="s">
        <v>676</v>
      </c>
    </row>
    <row r="179" spans="2:7" outlineLevel="1">
      <c r="B179" s="31" t="s">
        <v>677</v>
      </c>
      <c r="C179" s="618">
        <v>0.3</v>
      </c>
      <c r="D179" s="586">
        <v>2.1000000000000001E-4</v>
      </c>
      <c r="E179" s="31" t="s">
        <v>678</v>
      </c>
    </row>
    <row r="180" spans="2:7" outlineLevel="1">
      <c r="B180" s="31" t="s">
        <v>679</v>
      </c>
      <c r="C180" s="618">
        <v>0.3</v>
      </c>
      <c r="D180" s="586">
        <v>2.1000000000000001E-4</v>
      </c>
      <c r="E180" s="31" t="s">
        <v>678</v>
      </c>
    </row>
    <row r="181" spans="2:7" outlineLevel="1">
      <c r="B181" s="31" t="s">
        <v>680</v>
      </c>
      <c r="C181" s="618">
        <v>0.3</v>
      </c>
      <c r="D181" s="586">
        <v>2.1000000000000001E-4</v>
      </c>
      <c r="E181" s="31" t="s">
        <v>678</v>
      </c>
    </row>
    <row r="182" spans="2:7" outlineLevel="1">
      <c r="B182" s="31" t="s">
        <v>681</v>
      </c>
      <c r="C182" s="619" t="s">
        <v>672</v>
      </c>
      <c r="D182" s="612">
        <v>8.3000000000000001E-3</v>
      </c>
      <c r="E182" s="31" t="s">
        <v>678</v>
      </c>
      <c r="G182" s="623"/>
    </row>
    <row r="183" spans="2:7" outlineLevel="1">
      <c r="B183" s="31" t="s">
        <v>682</v>
      </c>
      <c r="C183" s="619" t="s">
        <v>683</v>
      </c>
      <c r="D183" s="612">
        <v>3.0999999999999999E-3</v>
      </c>
      <c r="E183" s="31" t="s">
        <v>662</v>
      </c>
      <c r="G183" s="623"/>
    </row>
    <row r="184" spans="2:7" outlineLevel="1"/>
    <row r="186" spans="2:7" s="276" customFormat="1" ht="15" customHeight="1">
      <c r="B186" s="162" t="s">
        <v>684</v>
      </c>
    </row>
    <row r="187" spans="2:7" outlineLevel="1">
      <c r="B187" s="611"/>
    </row>
    <row r="188" spans="2:7" outlineLevel="1">
      <c r="B188" s="286" t="s">
        <v>656</v>
      </c>
      <c r="C188" s="286" t="s">
        <v>685</v>
      </c>
      <c r="D188" s="286" t="s">
        <v>621</v>
      </c>
    </row>
    <row r="189" spans="2:7" outlineLevel="1">
      <c r="B189" s="31" t="s">
        <v>659</v>
      </c>
      <c r="C189" s="585">
        <v>0.70899999999999996</v>
      </c>
      <c r="D189" s="31" t="s">
        <v>686</v>
      </c>
    </row>
    <row r="190" spans="2:7" outlineLevel="1">
      <c r="B190" s="31" t="s">
        <v>661</v>
      </c>
      <c r="C190" s="585">
        <v>0.443</v>
      </c>
      <c r="D190" s="31" t="s">
        <v>686</v>
      </c>
    </row>
    <row r="191" spans="2:7" outlineLevel="1">
      <c r="B191" s="31" t="s">
        <v>663</v>
      </c>
      <c r="C191" s="585">
        <v>0.621</v>
      </c>
      <c r="D191" s="31" t="s">
        <v>686</v>
      </c>
    </row>
    <row r="192" spans="2:7" outlineLevel="1">
      <c r="B192" s="31" t="s">
        <v>664</v>
      </c>
      <c r="C192" s="585">
        <v>0.57599999999999996</v>
      </c>
      <c r="D192" s="31" t="s">
        <v>686</v>
      </c>
    </row>
    <row r="193" spans="2:4" outlineLevel="1">
      <c r="B193" s="31" t="s">
        <v>667</v>
      </c>
      <c r="C193" s="585">
        <v>0.45700000000000002</v>
      </c>
      <c r="D193" s="31" t="s">
        <v>687</v>
      </c>
    </row>
    <row r="194" spans="2:4" outlineLevel="1">
      <c r="B194" s="31" t="s">
        <v>668</v>
      </c>
      <c r="C194" s="585">
        <v>0.34599999999999997</v>
      </c>
      <c r="D194" s="31" t="s">
        <v>687</v>
      </c>
    </row>
    <row r="195" spans="2:4" outlineLevel="1">
      <c r="B195" s="31" t="s">
        <v>670</v>
      </c>
      <c r="C195" s="585">
        <v>0.34599999999999997</v>
      </c>
      <c r="D195" s="31" t="s">
        <v>687</v>
      </c>
    </row>
    <row r="196" spans="2:4" outlineLevel="1">
      <c r="B196" s="31" t="s">
        <v>671</v>
      </c>
      <c r="C196" s="585">
        <v>0.77100000000000002</v>
      </c>
      <c r="D196" s="31" t="s">
        <v>688</v>
      </c>
    </row>
    <row r="197" spans="2:4" outlineLevel="1">
      <c r="B197" s="31" t="s">
        <v>673</v>
      </c>
      <c r="C197" s="585">
        <v>0.628</v>
      </c>
      <c r="D197" s="31" t="s">
        <v>687</v>
      </c>
    </row>
    <row r="198" spans="2:4" outlineLevel="1">
      <c r="B198" s="31" t="s">
        <v>675</v>
      </c>
      <c r="C198" s="585">
        <v>0.628</v>
      </c>
      <c r="D198" s="31" t="s">
        <v>687</v>
      </c>
    </row>
    <row r="199" spans="2:4" outlineLevel="1">
      <c r="B199" s="31" t="s">
        <v>677</v>
      </c>
      <c r="C199" s="585">
        <v>0.44</v>
      </c>
      <c r="D199" s="31" t="s">
        <v>678</v>
      </c>
    </row>
    <row r="200" spans="2:4" outlineLevel="1">
      <c r="B200" s="31" t="s">
        <v>679</v>
      </c>
      <c r="C200" s="585">
        <v>0.16200000000000001</v>
      </c>
      <c r="D200" s="31" t="s">
        <v>687</v>
      </c>
    </row>
    <row r="201" spans="2:4" outlineLevel="1">
      <c r="B201" s="31" t="s">
        <v>680</v>
      </c>
      <c r="C201" s="585">
        <v>0.254</v>
      </c>
      <c r="D201" s="31" t="s">
        <v>678</v>
      </c>
    </row>
    <row r="202" spans="2:4" outlineLevel="1">
      <c r="B202" s="31" t="s">
        <v>681</v>
      </c>
      <c r="C202" s="585">
        <v>0.81799999999999995</v>
      </c>
      <c r="D202" s="31" t="s">
        <v>688</v>
      </c>
    </row>
    <row r="203" spans="2:4" outlineLevel="1">
      <c r="B203" s="31" t="s">
        <v>682</v>
      </c>
      <c r="C203" s="585">
        <v>0.72299999999999998</v>
      </c>
      <c r="D203" s="31" t="s">
        <v>689</v>
      </c>
    </row>
    <row r="204" spans="2:4" outlineLevel="1">
      <c r="B204" s="611"/>
    </row>
    <row r="206" spans="2:4" s="276" customFormat="1">
      <c r="B206" s="162" t="s">
        <v>690</v>
      </c>
    </row>
    <row r="207" spans="2:4" outlineLevel="1"/>
    <row r="208" spans="2:4" outlineLevel="1">
      <c r="B208" t="s">
        <v>691</v>
      </c>
    </row>
    <row r="209" spans="2:5" outlineLevel="1">
      <c r="B209" t="s">
        <v>692</v>
      </c>
    </row>
    <row r="210" spans="2:5" outlineLevel="1">
      <c r="B210" t="s">
        <v>693</v>
      </c>
    </row>
    <row r="211" spans="2:5" outlineLevel="1">
      <c r="B211" t="s">
        <v>694</v>
      </c>
    </row>
    <row r="212" spans="2:5" outlineLevel="1"/>
    <row r="213" spans="2:5" outlineLevel="1">
      <c r="B213" s="286" t="s">
        <v>649</v>
      </c>
      <c r="C213" s="613" t="s">
        <v>695</v>
      </c>
      <c r="D213" s="613" t="s">
        <v>696</v>
      </c>
      <c r="E213" s="613" t="s">
        <v>697</v>
      </c>
    </row>
    <row r="214" spans="2:5" outlineLevel="1">
      <c r="B214" s="333">
        <f>Units!U120</f>
        <v>2023</v>
      </c>
      <c r="C214" s="585">
        <v>2.3E-2</v>
      </c>
      <c r="D214" s="585">
        <v>5.2000000000000005E-2</v>
      </c>
      <c r="E214" s="585">
        <f t="shared" ref="E214:E241" si="0">1-(1-C214)*(1-D214)</f>
        <v>7.3804000000000092E-2</v>
      </c>
    </row>
    <row r="215" spans="2:5" outlineLevel="1">
      <c r="B215" s="333">
        <f>Units!U121</f>
        <v>2024</v>
      </c>
      <c r="C215" s="585">
        <v>2.1999999999999999E-2</v>
      </c>
      <c r="D215" s="585">
        <v>5.2000000000000005E-2</v>
      </c>
      <c r="E215" s="585">
        <f t="shared" si="0"/>
        <v>7.2856000000000032E-2</v>
      </c>
    </row>
    <row r="216" spans="2:5" outlineLevel="1">
      <c r="B216" s="333">
        <f>Units!U122</f>
        <v>2025</v>
      </c>
      <c r="C216" s="585">
        <v>2.1999999999999999E-2</v>
      </c>
      <c r="D216" s="585">
        <v>5.0999999999999997E-2</v>
      </c>
      <c r="E216" s="585">
        <f t="shared" si="0"/>
        <v>7.1878000000000108E-2</v>
      </c>
    </row>
    <row r="217" spans="2:5" outlineLevel="1">
      <c r="B217" s="333">
        <f>Units!U123</f>
        <v>2026</v>
      </c>
      <c r="C217" s="585">
        <v>2.1999999999999999E-2</v>
      </c>
      <c r="D217" s="585">
        <v>5.0999999999999997E-2</v>
      </c>
      <c r="E217" s="585">
        <f t="shared" si="0"/>
        <v>7.1878000000000108E-2</v>
      </c>
    </row>
    <row r="218" spans="2:5" outlineLevel="1">
      <c r="B218" s="333">
        <f>Units!U124</f>
        <v>2027</v>
      </c>
      <c r="C218" s="585">
        <v>2.1000000000000001E-2</v>
      </c>
      <c r="D218" s="585">
        <v>0.05</v>
      </c>
      <c r="E218" s="585">
        <f t="shared" si="0"/>
        <v>6.9950000000000068E-2</v>
      </c>
    </row>
    <row r="219" spans="2:5" outlineLevel="1">
      <c r="B219" s="333">
        <f>Units!U125</f>
        <v>2028</v>
      </c>
      <c r="C219" s="585">
        <v>2.1000000000000001E-2</v>
      </c>
      <c r="D219" s="585">
        <v>0.05</v>
      </c>
      <c r="E219" s="585">
        <f t="shared" si="0"/>
        <v>6.9950000000000068E-2</v>
      </c>
    </row>
    <row r="220" spans="2:5" outlineLevel="1">
      <c r="B220" s="333">
        <f>Units!U126</f>
        <v>2029</v>
      </c>
      <c r="C220" s="585">
        <v>2.1000000000000001E-2</v>
      </c>
      <c r="D220" s="585">
        <v>0.05</v>
      </c>
      <c r="E220" s="585">
        <f t="shared" si="0"/>
        <v>6.9950000000000068E-2</v>
      </c>
    </row>
    <row r="221" spans="2:5" outlineLevel="1">
      <c r="B221" s="333">
        <f>Units!U127</f>
        <v>2030</v>
      </c>
      <c r="C221" s="585">
        <v>2.1000000000000001E-2</v>
      </c>
      <c r="D221" s="585">
        <v>4.9000000000000002E-2</v>
      </c>
      <c r="E221" s="585">
        <f t="shared" si="0"/>
        <v>6.8971000000000116E-2</v>
      </c>
    </row>
    <row r="222" spans="2:5" outlineLevel="1">
      <c r="B222" s="333">
        <f>Units!U128</f>
        <v>2031</v>
      </c>
      <c r="C222" s="585">
        <v>2.1000000000000001E-2</v>
      </c>
      <c r="D222" s="585">
        <v>4.9000000000000002E-2</v>
      </c>
      <c r="E222" s="585">
        <f t="shared" si="0"/>
        <v>6.8971000000000116E-2</v>
      </c>
    </row>
    <row r="223" spans="2:5" outlineLevel="1">
      <c r="B223" s="333">
        <f>Units!U129</f>
        <v>2032</v>
      </c>
      <c r="C223" s="585">
        <v>2.1000000000000001E-2</v>
      </c>
      <c r="D223" s="585">
        <v>4.9000000000000002E-2</v>
      </c>
      <c r="E223" s="585">
        <f t="shared" si="0"/>
        <v>6.8971000000000116E-2</v>
      </c>
    </row>
    <row r="224" spans="2:5" outlineLevel="1">
      <c r="B224" s="333">
        <f>Units!U130</f>
        <v>2033</v>
      </c>
      <c r="C224" s="585">
        <v>2.1000000000000001E-2</v>
      </c>
      <c r="D224" s="585">
        <v>4.8000000000000001E-2</v>
      </c>
      <c r="E224" s="585">
        <f t="shared" si="0"/>
        <v>6.7992000000000052E-2</v>
      </c>
    </row>
    <row r="225" spans="2:5" outlineLevel="1">
      <c r="B225" s="333">
        <f>Units!U131</f>
        <v>2034</v>
      </c>
      <c r="C225" s="585">
        <v>2.1000000000000001E-2</v>
      </c>
      <c r="D225" s="585">
        <v>4.8000000000000001E-2</v>
      </c>
      <c r="E225" s="585">
        <f t="shared" si="0"/>
        <v>6.7992000000000052E-2</v>
      </c>
    </row>
    <row r="226" spans="2:5" outlineLevel="1">
      <c r="B226" s="333">
        <f>Units!U132</f>
        <v>2035</v>
      </c>
      <c r="C226" s="585">
        <v>2.1000000000000001E-2</v>
      </c>
      <c r="D226" s="585">
        <v>4.8000000000000001E-2</v>
      </c>
      <c r="E226" s="585">
        <f t="shared" si="0"/>
        <v>6.7992000000000052E-2</v>
      </c>
    </row>
    <row r="227" spans="2:5" outlineLevel="1">
      <c r="B227" s="333">
        <f>Units!U133</f>
        <v>2036</v>
      </c>
      <c r="C227" s="585">
        <v>2.1000000000000001E-2</v>
      </c>
      <c r="D227" s="585">
        <v>4.8000000000000001E-2</v>
      </c>
      <c r="E227" s="585">
        <f t="shared" si="0"/>
        <v>6.7992000000000052E-2</v>
      </c>
    </row>
    <row r="228" spans="2:5" outlineLevel="1">
      <c r="B228" s="333">
        <f>Units!U134</f>
        <v>2037</v>
      </c>
      <c r="C228" s="585">
        <v>2.1000000000000001E-2</v>
      </c>
      <c r="D228" s="585">
        <v>4.7E-2</v>
      </c>
      <c r="E228" s="585">
        <f t="shared" si="0"/>
        <v>6.70130000000001E-2</v>
      </c>
    </row>
    <row r="229" spans="2:5" outlineLevel="1">
      <c r="B229" s="333">
        <f>Units!U135</f>
        <v>2038</v>
      </c>
      <c r="C229" s="585">
        <v>2.1000000000000001E-2</v>
      </c>
      <c r="D229" s="585">
        <v>4.7E-2</v>
      </c>
      <c r="E229" s="585">
        <f t="shared" si="0"/>
        <v>6.70130000000001E-2</v>
      </c>
    </row>
    <row r="230" spans="2:5" outlineLevel="1">
      <c r="B230" s="333">
        <f>Units!U136</f>
        <v>2039</v>
      </c>
      <c r="C230" s="585">
        <v>2.1000000000000001E-2</v>
      </c>
      <c r="D230" s="585">
        <v>4.7E-2</v>
      </c>
      <c r="E230" s="585">
        <f t="shared" si="0"/>
        <v>6.70130000000001E-2</v>
      </c>
    </row>
    <row r="231" spans="2:5" outlineLevel="1">
      <c r="B231" s="333">
        <f>Units!U137</f>
        <v>2040</v>
      </c>
      <c r="C231" s="585">
        <v>0.02</v>
      </c>
      <c r="D231" s="585">
        <v>4.7E-2</v>
      </c>
      <c r="E231" s="585">
        <f t="shared" si="0"/>
        <v>6.6060000000000008E-2</v>
      </c>
    </row>
    <row r="232" spans="2:5" outlineLevel="1">
      <c r="B232" s="333">
        <f>Units!U138</f>
        <v>2041</v>
      </c>
      <c r="C232" s="585">
        <v>0.02</v>
      </c>
      <c r="D232" s="585">
        <v>4.5999999999999999E-2</v>
      </c>
      <c r="E232" s="585">
        <f t="shared" si="0"/>
        <v>6.5080000000000027E-2</v>
      </c>
    </row>
    <row r="233" spans="2:5" outlineLevel="1">
      <c r="B233" s="333">
        <f>Units!U139</f>
        <v>2042</v>
      </c>
      <c r="C233" s="585">
        <v>0.02</v>
      </c>
      <c r="D233" s="585">
        <v>4.4999999999999998E-2</v>
      </c>
      <c r="E233" s="585">
        <f t="shared" si="0"/>
        <v>6.4100000000000046E-2</v>
      </c>
    </row>
    <row r="234" spans="2:5" outlineLevel="1">
      <c r="B234" s="333">
        <f>Units!U140</f>
        <v>2043</v>
      </c>
      <c r="C234" s="585">
        <v>1.9E-2</v>
      </c>
      <c r="D234" s="585">
        <v>4.4000000000000004E-2</v>
      </c>
      <c r="E234" s="585">
        <f t="shared" si="0"/>
        <v>6.2164000000000108E-2</v>
      </c>
    </row>
    <row r="235" spans="2:5" outlineLevel="1">
      <c r="B235" s="333">
        <f>Units!U141</f>
        <v>2044</v>
      </c>
      <c r="C235" s="585">
        <v>1.9E-2</v>
      </c>
      <c r="D235" s="585">
        <v>4.2999999999999997E-2</v>
      </c>
      <c r="E235" s="585">
        <f t="shared" si="0"/>
        <v>6.1183000000000098E-2</v>
      </c>
    </row>
    <row r="236" spans="2:5" outlineLevel="1">
      <c r="B236" s="333">
        <f>Units!U142</f>
        <v>2045</v>
      </c>
      <c r="C236" s="585">
        <v>1.9E-2</v>
      </c>
      <c r="D236" s="585">
        <v>4.2999999999999997E-2</v>
      </c>
      <c r="E236" s="585">
        <f t="shared" si="0"/>
        <v>6.1183000000000098E-2</v>
      </c>
    </row>
    <row r="237" spans="2:5" outlineLevel="1">
      <c r="B237" s="333">
        <f>Units!U143</f>
        <v>2046</v>
      </c>
      <c r="C237" s="585">
        <v>1.7999999999999999E-2</v>
      </c>
      <c r="D237" s="585">
        <v>4.2000000000000003E-2</v>
      </c>
      <c r="E237" s="585">
        <f t="shared" si="0"/>
        <v>5.9244000000000074E-2</v>
      </c>
    </row>
    <row r="238" spans="2:5" outlineLevel="1">
      <c r="B238" s="333">
        <f>Units!U144</f>
        <v>2047</v>
      </c>
      <c r="C238" s="585">
        <v>1.7999999999999999E-2</v>
      </c>
      <c r="D238" s="585">
        <v>4.2000000000000003E-2</v>
      </c>
      <c r="E238" s="585">
        <f t="shared" si="0"/>
        <v>5.9244000000000074E-2</v>
      </c>
    </row>
    <row r="239" spans="2:5" outlineLevel="1">
      <c r="B239" s="333">
        <f>Units!U145</f>
        <v>2048</v>
      </c>
      <c r="C239" s="585">
        <v>1.7999999999999999E-2</v>
      </c>
      <c r="D239" s="585">
        <v>4.0999999999999995E-2</v>
      </c>
      <c r="E239" s="585">
        <f t="shared" si="0"/>
        <v>5.8262000000000036E-2</v>
      </c>
    </row>
    <row r="240" spans="2:5" outlineLevel="1">
      <c r="B240" s="333">
        <f>Units!U146</f>
        <v>2049</v>
      </c>
      <c r="C240" s="585">
        <v>1.7999999999999999E-2</v>
      </c>
      <c r="D240" s="585">
        <v>4.0999999999999995E-2</v>
      </c>
      <c r="E240" s="585">
        <f t="shared" si="0"/>
        <v>5.8262000000000036E-2</v>
      </c>
    </row>
    <row r="241" spans="2:5" outlineLevel="1">
      <c r="B241" s="333">
        <f>Units!U147</f>
        <v>2050</v>
      </c>
      <c r="C241" s="585">
        <v>1.7999999999999999E-2</v>
      </c>
      <c r="D241" s="585">
        <v>0.04</v>
      </c>
      <c r="E241" s="585">
        <f t="shared" si="0"/>
        <v>5.7279999999999998E-2</v>
      </c>
    </row>
    <row r="242" spans="2:5" outlineLevel="1"/>
    <row r="244" spans="2:5" s="276" customFormat="1">
      <c r="B244" s="162" t="s">
        <v>698</v>
      </c>
    </row>
    <row r="245" spans="2:5" outlineLevel="1"/>
    <row r="246" spans="2:5" outlineLevel="1">
      <c r="B246" t="s">
        <v>699</v>
      </c>
    </row>
    <row r="247" spans="2:5" outlineLevel="1">
      <c r="B247" t="s">
        <v>700</v>
      </c>
    </row>
    <row r="248" spans="2:5" outlineLevel="1"/>
    <row r="249" spans="2:5" ht="16.5" outlineLevel="1">
      <c r="B249" s="286" t="s">
        <v>701</v>
      </c>
      <c r="C249" s="614" t="s">
        <v>523</v>
      </c>
      <c r="D249" s="588" t="s">
        <v>621</v>
      </c>
    </row>
    <row r="250" spans="2:5" outlineLevel="1">
      <c r="B250" s="31" t="s">
        <v>702</v>
      </c>
      <c r="C250" s="621">
        <v>17.5</v>
      </c>
      <c r="D250" s="31" t="s">
        <v>1317</v>
      </c>
    </row>
    <row r="251" spans="2:5" outlineLevel="1">
      <c r="B251" s="31" t="s">
        <v>703</v>
      </c>
      <c r="C251" s="621">
        <v>18.3</v>
      </c>
      <c r="D251" s="31" t="s">
        <v>1318</v>
      </c>
    </row>
    <row r="252" spans="2:5" outlineLevel="1">
      <c r="B252" s="31" t="s">
        <v>704</v>
      </c>
      <c r="C252" s="621">
        <v>8.6999999999999993</v>
      </c>
      <c r="D252" s="31" t="s">
        <v>705</v>
      </c>
    </row>
    <row r="253" spans="2:5" outlineLevel="1">
      <c r="B253" s="31" t="s">
        <v>706</v>
      </c>
      <c r="C253" s="621">
        <v>9.1999999999999993</v>
      </c>
      <c r="D253" s="31" t="s">
        <v>707</v>
      </c>
    </row>
    <row r="254" spans="2:5" outlineLevel="1">
      <c r="B254" s="31" t="s">
        <v>708</v>
      </c>
      <c r="C254" s="621">
        <v>11.2</v>
      </c>
      <c r="D254" s="31" t="s">
        <v>707</v>
      </c>
    </row>
    <row r="255" spans="2:5" outlineLevel="1">
      <c r="B255" s="31" t="s">
        <v>709</v>
      </c>
      <c r="C255" s="589">
        <v>17.5</v>
      </c>
      <c r="D255" s="31" t="s">
        <v>1319</v>
      </c>
    </row>
    <row r="256" spans="2:5" outlineLevel="1">
      <c r="B256" s="31" t="s">
        <v>710</v>
      </c>
      <c r="C256" s="589">
        <v>17.5</v>
      </c>
      <c r="D256" s="31" t="s">
        <v>1319</v>
      </c>
    </row>
    <row r="257" spans="2:4" outlineLevel="1">
      <c r="B257" s="31" t="s">
        <v>711</v>
      </c>
      <c r="C257" s="589">
        <v>28.2</v>
      </c>
      <c r="D257" s="31" t="s">
        <v>712</v>
      </c>
    </row>
    <row r="258" spans="2:4" outlineLevel="1">
      <c r="B258" s="31" t="s">
        <v>713</v>
      </c>
      <c r="C258" s="589">
        <v>37.6</v>
      </c>
      <c r="D258" s="31" t="s">
        <v>1319</v>
      </c>
    </row>
    <row r="259" spans="2:4" outlineLevel="1">
      <c r="B259" s="31" t="s">
        <v>714</v>
      </c>
      <c r="C259" s="589">
        <v>27</v>
      </c>
      <c r="D259" s="31" t="s">
        <v>1319</v>
      </c>
    </row>
    <row r="260" spans="2:4" outlineLevel="1">
      <c r="B260" s="31" t="s">
        <v>715</v>
      </c>
      <c r="C260" s="589">
        <v>13.5</v>
      </c>
      <c r="D260" s="31" t="s">
        <v>1319</v>
      </c>
    </row>
    <row r="261" spans="2:4" outlineLevel="1">
      <c r="B261" s="31" t="s">
        <v>716</v>
      </c>
      <c r="C261" s="589">
        <v>8.1</v>
      </c>
      <c r="D261" s="31" t="s">
        <v>1319</v>
      </c>
    </row>
    <row r="262" spans="2:4" outlineLevel="1"/>
    <row r="264" spans="2:4" s="276" customFormat="1">
      <c r="B264" s="162" t="s">
        <v>129</v>
      </c>
    </row>
    <row r="265" spans="2:4" outlineLevel="1"/>
    <row r="266" spans="2:4" outlineLevel="1">
      <c r="B266" t="s">
        <v>717</v>
      </c>
    </row>
    <row r="267" spans="2:4" outlineLevel="1">
      <c r="B267" t="s">
        <v>718</v>
      </c>
    </row>
    <row r="268" spans="2:4" ht="16.5" outlineLevel="1">
      <c r="B268" t="s">
        <v>719</v>
      </c>
    </row>
    <row r="269" spans="2:4" outlineLevel="1">
      <c r="B269" t="s">
        <v>720</v>
      </c>
    </row>
    <row r="270" spans="2:4" outlineLevel="1"/>
    <row r="271" spans="2:4" ht="16.5" outlineLevel="1">
      <c r="B271" s="286" t="s">
        <v>721</v>
      </c>
      <c r="C271" s="614" t="s">
        <v>722</v>
      </c>
      <c r="D271" s="588" t="s">
        <v>621</v>
      </c>
    </row>
    <row r="272" spans="2:4" outlineLevel="1">
      <c r="B272" s="31" t="s">
        <v>723</v>
      </c>
      <c r="C272" s="589">
        <v>0.18</v>
      </c>
      <c r="D272" s="31" t="s">
        <v>1319</v>
      </c>
    </row>
    <row r="273" spans="2:4" outlineLevel="1">
      <c r="B273" s="31" t="s">
        <v>724</v>
      </c>
      <c r="C273" s="589">
        <v>1.1499999999999999</v>
      </c>
      <c r="D273" s="31" t="s">
        <v>725</v>
      </c>
    </row>
    <row r="274" spans="2:4" outlineLevel="1">
      <c r="B274" s="31" t="s">
        <v>726</v>
      </c>
      <c r="C274" s="31">
        <v>51</v>
      </c>
      <c r="D274" s="31" t="s">
        <v>727</v>
      </c>
    </row>
    <row r="275" spans="2:4" outlineLevel="1">
      <c r="B275" s="31" t="s">
        <v>728</v>
      </c>
      <c r="C275" s="31">
        <v>0</v>
      </c>
      <c r="D275" s="31" t="s">
        <v>729</v>
      </c>
    </row>
    <row r="276" spans="2:4" outlineLevel="1">
      <c r="B276" s="31" t="s">
        <v>730</v>
      </c>
      <c r="C276" s="31">
        <v>23</v>
      </c>
      <c r="D276" s="31" t="s">
        <v>731</v>
      </c>
    </row>
    <row r="277" spans="2:4" outlineLevel="1">
      <c r="B277" s="31" t="s">
        <v>732</v>
      </c>
      <c r="C277" s="31">
        <v>54</v>
      </c>
      <c r="D277" s="31" t="s">
        <v>733</v>
      </c>
    </row>
    <row r="278" spans="2:4" outlineLevel="1">
      <c r="B278" s="31" t="s">
        <v>734</v>
      </c>
      <c r="C278" s="31">
        <v>0</v>
      </c>
      <c r="D278" s="31" t="s">
        <v>729</v>
      </c>
    </row>
    <row r="279" spans="2:4" outlineLevel="1">
      <c r="B279" s="31" t="s">
        <v>735</v>
      </c>
      <c r="C279" s="31">
        <v>530</v>
      </c>
      <c r="D279" s="31" t="s">
        <v>736</v>
      </c>
    </row>
    <row r="280" spans="2:4" outlineLevel="1">
      <c r="B280" s="31" t="s">
        <v>737</v>
      </c>
      <c r="C280" s="31">
        <v>419</v>
      </c>
      <c r="D280" s="31" t="s">
        <v>736</v>
      </c>
    </row>
    <row r="281" spans="2:4" outlineLevel="1">
      <c r="B281" s="31" t="s">
        <v>738</v>
      </c>
      <c r="C281" s="31">
        <v>1193</v>
      </c>
      <c r="D281" s="31" t="s">
        <v>736</v>
      </c>
    </row>
    <row r="282" spans="2:4" ht="16.5" outlineLevel="1">
      <c r="B282" s="31" t="s">
        <v>739</v>
      </c>
      <c r="C282" s="31">
        <v>440</v>
      </c>
      <c r="D282" s="31" t="s">
        <v>740</v>
      </c>
    </row>
    <row r="283" spans="2:4" ht="16.5" outlineLevel="1">
      <c r="B283" s="31" t="s">
        <v>741</v>
      </c>
      <c r="C283" s="31">
        <v>1245</v>
      </c>
      <c r="D283" s="31" t="s">
        <v>736</v>
      </c>
    </row>
    <row r="284" spans="2:4" outlineLevel="1">
      <c r="B284" s="31" t="s">
        <v>742</v>
      </c>
      <c r="C284" s="31">
        <v>920</v>
      </c>
      <c r="D284" s="31" t="s">
        <v>743</v>
      </c>
    </row>
    <row r="285" spans="2:4" ht="16.5" outlineLevel="1">
      <c r="B285" s="31" t="s">
        <v>744</v>
      </c>
      <c r="C285" s="31">
        <v>2426</v>
      </c>
      <c r="D285" s="31" t="s">
        <v>736</v>
      </c>
    </row>
    <row r="286" spans="2:4" ht="16.5" outlineLevel="1">
      <c r="B286" s="31" t="s">
        <v>745</v>
      </c>
      <c r="C286" s="31">
        <v>440</v>
      </c>
      <c r="D286" s="31" t="s">
        <v>743</v>
      </c>
    </row>
    <row r="287" spans="2:4" outlineLevel="1">
      <c r="B287" s="31" t="s">
        <v>746</v>
      </c>
      <c r="C287" s="31">
        <v>8.3000000000000007</v>
      </c>
      <c r="D287" s="31" t="s">
        <v>747</v>
      </c>
    </row>
    <row r="288" spans="2:4" outlineLevel="1">
      <c r="B288" s="31" t="s">
        <v>748</v>
      </c>
      <c r="C288" s="31">
        <v>1061</v>
      </c>
      <c r="D288" s="31" t="s">
        <v>736</v>
      </c>
    </row>
    <row r="289" spans="2:4" ht="16.5" outlineLevel="1">
      <c r="B289" s="31" t="s">
        <v>749</v>
      </c>
      <c r="C289" s="31">
        <v>218</v>
      </c>
      <c r="D289" s="31" t="s">
        <v>736</v>
      </c>
    </row>
    <row r="290" spans="2:4" ht="16.5" outlineLevel="1">
      <c r="B290" s="31" t="s">
        <v>750</v>
      </c>
      <c r="C290" s="31">
        <v>3125</v>
      </c>
      <c r="D290" s="31" t="s">
        <v>736</v>
      </c>
    </row>
    <row r="291" spans="2:4" ht="16.5" outlineLevel="1">
      <c r="B291" s="31" t="s">
        <v>751</v>
      </c>
      <c r="C291" s="31">
        <v>720</v>
      </c>
      <c r="D291" s="31" t="s">
        <v>743</v>
      </c>
    </row>
    <row r="292" spans="2:4" outlineLevel="1">
      <c r="B292" s="31" t="s">
        <v>752</v>
      </c>
      <c r="C292" s="31">
        <v>947</v>
      </c>
      <c r="D292" s="31" t="s">
        <v>736</v>
      </c>
    </row>
    <row r="293" spans="2:4" outlineLevel="1">
      <c r="B293" s="31" t="s">
        <v>753</v>
      </c>
      <c r="C293" s="31">
        <v>723</v>
      </c>
      <c r="D293" s="31" t="s">
        <v>736</v>
      </c>
    </row>
    <row r="294" spans="2:4" outlineLevel="1">
      <c r="B294" s="31" t="s">
        <v>754</v>
      </c>
      <c r="C294" s="31">
        <v>3400</v>
      </c>
      <c r="D294" s="31" t="s">
        <v>755</v>
      </c>
    </row>
    <row r="295" spans="2:4" ht="16.5" outlineLevel="1">
      <c r="B295" s="31" t="s">
        <v>756</v>
      </c>
      <c r="C295" s="31">
        <v>2288</v>
      </c>
      <c r="D295" s="31" t="s">
        <v>757</v>
      </c>
    </row>
    <row r="296" spans="2:4" ht="16.5" outlineLevel="1">
      <c r="B296" s="31" t="s">
        <v>758</v>
      </c>
      <c r="C296" s="31">
        <v>1640</v>
      </c>
      <c r="D296" s="31" t="s">
        <v>736</v>
      </c>
    </row>
    <row r="297" spans="2:4" outlineLevel="1">
      <c r="B297" s="31" t="s">
        <v>759</v>
      </c>
      <c r="C297" s="31">
        <v>5270</v>
      </c>
      <c r="D297" s="31" t="s">
        <v>760</v>
      </c>
    </row>
    <row r="298" spans="2:4" outlineLevel="1"/>
    <row r="300" spans="2:4" s="276" customFormat="1" ht="16.5">
      <c r="B300" s="162" t="s">
        <v>761</v>
      </c>
    </row>
    <row r="301" spans="2:4" outlineLevel="1"/>
    <row r="302" spans="2:4" outlineLevel="1">
      <c r="B302" t="s">
        <v>762</v>
      </c>
    </row>
    <row r="303" spans="2:4" outlineLevel="1">
      <c r="B303" t="s">
        <v>763</v>
      </c>
    </row>
    <row r="304" spans="2:4" ht="16.5" outlineLevel="1">
      <c r="B304" t="s">
        <v>764</v>
      </c>
    </row>
    <row r="305" spans="2:5" outlineLevel="1"/>
    <row r="306" spans="2:5" ht="16.5" outlineLevel="1">
      <c r="B306" s="286" t="s">
        <v>384</v>
      </c>
      <c r="C306" s="614" t="s">
        <v>765</v>
      </c>
      <c r="D306" s="614" t="s">
        <v>766</v>
      </c>
      <c r="E306" s="588" t="s">
        <v>621</v>
      </c>
    </row>
    <row r="307" spans="2:5" outlineLevel="1">
      <c r="B307" s="31" t="s">
        <v>702</v>
      </c>
      <c r="C307" s="621">
        <v>73.5</v>
      </c>
      <c r="D307" s="621">
        <v>864</v>
      </c>
      <c r="E307" s="31" t="s">
        <v>1317</v>
      </c>
    </row>
    <row r="308" spans="2:5" outlineLevel="1">
      <c r="B308" s="31" t="s">
        <v>703</v>
      </c>
      <c r="C308" s="621">
        <v>70.2</v>
      </c>
      <c r="D308" s="621">
        <v>856</v>
      </c>
      <c r="E308" s="31" t="s">
        <v>1318</v>
      </c>
    </row>
    <row r="309" spans="2:5" outlineLevel="1">
      <c r="B309" s="31" t="s">
        <v>767</v>
      </c>
      <c r="C309" s="621">
        <v>56.6</v>
      </c>
      <c r="D309" s="621">
        <v>703</v>
      </c>
      <c r="E309" s="31" t="s">
        <v>1320</v>
      </c>
    </row>
    <row r="310" spans="2:5" outlineLevel="1">
      <c r="B310" s="31" t="s">
        <v>709</v>
      </c>
      <c r="C310" s="621">
        <v>75.3</v>
      </c>
      <c r="D310" s="621">
        <v>875</v>
      </c>
      <c r="E310" s="31" t="s">
        <v>1319</v>
      </c>
    </row>
    <row r="311" spans="2:5" outlineLevel="1">
      <c r="B311" s="31" t="s">
        <v>710</v>
      </c>
      <c r="C311" s="621">
        <v>78.599999999999994</v>
      </c>
      <c r="D311" s="621">
        <v>878</v>
      </c>
      <c r="E311" s="31" t="s">
        <v>1319</v>
      </c>
    </row>
    <row r="312" spans="2:5" outlineLevel="1">
      <c r="B312" s="31" t="s">
        <v>711</v>
      </c>
      <c r="C312" s="621">
        <v>68.900000000000006</v>
      </c>
      <c r="D312" s="621">
        <v>374</v>
      </c>
      <c r="E312" s="31" t="s">
        <v>1321</v>
      </c>
    </row>
    <row r="313" spans="2:5" outlineLevel="1">
      <c r="B313" s="31" t="s">
        <v>713</v>
      </c>
      <c r="C313" s="589">
        <v>0</v>
      </c>
      <c r="D313" s="589">
        <v>0</v>
      </c>
      <c r="E313" s="31" t="s">
        <v>1319</v>
      </c>
    </row>
    <row r="314" spans="2:5" outlineLevel="1">
      <c r="B314" s="31" t="s">
        <v>714</v>
      </c>
      <c r="C314" s="589">
        <v>0</v>
      </c>
      <c r="D314" s="589">
        <v>0</v>
      </c>
      <c r="E314" s="31" t="s">
        <v>1319</v>
      </c>
    </row>
    <row r="315" spans="2:5" outlineLevel="1">
      <c r="B315" s="31" t="s">
        <v>715</v>
      </c>
      <c r="C315" s="589">
        <v>0</v>
      </c>
      <c r="D315" s="589">
        <v>0</v>
      </c>
      <c r="E315" s="31" t="s">
        <v>1319</v>
      </c>
    </row>
    <row r="316" spans="2:5" outlineLevel="1">
      <c r="B316" s="31" t="s">
        <v>716</v>
      </c>
      <c r="C316" s="589">
        <v>0</v>
      </c>
      <c r="D316" s="589">
        <v>0</v>
      </c>
      <c r="E316" s="31" t="s">
        <v>1319</v>
      </c>
    </row>
    <row r="317" spans="2:5" outlineLevel="1"/>
    <row r="319" spans="2:5" s="162" customFormat="1">
      <c r="B319" s="162" t="s">
        <v>768</v>
      </c>
    </row>
    <row r="320" spans="2:5" outlineLevel="1"/>
    <row r="321" spans="2:6" outlineLevel="1">
      <c r="B321" s="28" t="s">
        <v>769</v>
      </c>
      <c r="C321" s="28" t="s">
        <v>770</v>
      </c>
      <c r="D321" s="292" t="s">
        <v>771</v>
      </c>
    </row>
    <row r="322" spans="2:6" outlineLevel="1">
      <c r="B322" t="s">
        <v>772</v>
      </c>
      <c r="C322" t="s">
        <v>314</v>
      </c>
      <c r="D322" s="122">
        <f>IF(OR(Initial_questions!$E$112=Units!$F$121,Initial_questions!$E$114=Units!$F$121), 3, Output_pressure)</f>
        <v>0</v>
      </c>
      <c r="E322" t="s">
        <v>773</v>
      </c>
    </row>
    <row r="323" spans="2:6" outlineLevel="1">
      <c r="B323" t="s">
        <v>774</v>
      </c>
      <c r="C323" t="s">
        <v>775</v>
      </c>
      <c r="D323">
        <f>Output_temperature</f>
        <v>0</v>
      </c>
    </row>
    <row r="324" spans="2:6" outlineLevel="1">
      <c r="B324" t="s">
        <v>776</v>
      </c>
      <c r="C324" t="s">
        <v>314</v>
      </c>
      <c r="D324" s="122">
        <f>IF(AND(Output_pressure&gt;3, OR(Initial_questions!$E$112=Units!$F$121,Initial_questions!$E$114=Units!$F$121)), Output_pressure, 3)</f>
        <v>3</v>
      </c>
      <c r="E324" t="s">
        <v>777</v>
      </c>
    </row>
    <row r="325" spans="2:6" ht="16.5" outlineLevel="1">
      <c r="B325" t="s">
        <v>778</v>
      </c>
      <c r="C325" t="s">
        <v>779</v>
      </c>
      <c r="D325" s="135" t="str">
        <f>IFERROR(VLOOKUP(25*ROUND(MIN(MAX(D323,0),125)/25,0),B336:F341,5,FALSE), "Yet to provide pressure")</f>
        <v>Yet to provide pressure</v>
      </c>
      <c r="E325" s="135" t="s">
        <v>780</v>
      </c>
    </row>
    <row r="326" spans="2:6" outlineLevel="1">
      <c r="B326" t="s">
        <v>781</v>
      </c>
      <c r="D326">
        <v>1.41</v>
      </c>
    </row>
    <row r="327" spans="2:6" outlineLevel="1">
      <c r="B327" s="118" t="s">
        <v>782</v>
      </c>
      <c r="C327" s="118" t="s">
        <v>783</v>
      </c>
      <c r="D327" s="135" t="str">
        <f>IFERROR(MAX(0,((D326/(D326-1))*D322*D325*((D324/D322)^(((D326-1)/D326))-1))), "Yet to provide pressure")</f>
        <v>Yet to provide pressure</v>
      </c>
      <c r="E327" s="90"/>
    </row>
    <row r="328" spans="2:6" outlineLevel="1">
      <c r="B328" t="s">
        <v>784</v>
      </c>
      <c r="C328" t="s">
        <v>785</v>
      </c>
      <c r="D328" s="454">
        <v>0.6</v>
      </c>
    </row>
    <row r="329" spans="2:6" outlineLevel="1">
      <c r="B329" s="119" t="s">
        <v>786</v>
      </c>
      <c r="C329" s="119" t="s">
        <v>787</v>
      </c>
      <c r="D329" s="136" t="str">
        <f>IFERROR(D327/(3.6*D328), "Yet to provide pressure")</f>
        <v>Yet to provide pressure</v>
      </c>
    </row>
    <row r="330" spans="2:6" ht="16.5" outlineLevel="1">
      <c r="B330" t="s">
        <v>788</v>
      </c>
      <c r="C330" t="s">
        <v>789</v>
      </c>
      <c r="D330" s="323" t="str">
        <f>IF(Initial_questions!$E$89="", 0, Initial_questions!$E$89)</f>
        <v>Yet to provide electricity source</v>
      </c>
    </row>
    <row r="331" spans="2:6" ht="16.5" outlineLevel="1">
      <c r="B331" s="28" t="s">
        <v>790</v>
      </c>
      <c r="C331" s="28" t="s">
        <v>791</v>
      </c>
      <c r="D331" s="123" t="str">
        <f>IFERROR(D329*D330/120, "Yet to provide pressure or electricity source")</f>
        <v>Yet to provide pressure or electricity source</v>
      </c>
    </row>
    <row r="332" spans="2:6" outlineLevel="1">
      <c r="D332" s="90"/>
    </row>
    <row r="333" spans="2:6" outlineLevel="1">
      <c r="B333" s="28" t="s">
        <v>792</v>
      </c>
      <c r="C333" s="28"/>
      <c r="D333" s="89"/>
    </row>
    <row r="334" spans="2:6" outlineLevel="1">
      <c r="D334" s="77"/>
    </row>
    <row r="335" spans="2:6" ht="16.5" outlineLevel="1">
      <c r="B335" s="286" t="s">
        <v>793</v>
      </c>
      <c r="C335" s="286" t="s">
        <v>794</v>
      </c>
      <c r="D335" s="286" t="s">
        <v>795</v>
      </c>
      <c r="E335" s="286" t="s">
        <v>796</v>
      </c>
      <c r="F335" s="286" t="s">
        <v>778</v>
      </c>
    </row>
    <row r="336" spans="2:6" outlineLevel="1">
      <c r="B336" s="626">
        <v>0</v>
      </c>
      <c r="C336" s="627">
        <v>1.1651</v>
      </c>
      <c r="D336" s="627">
        <v>-0.93500000000000005</v>
      </c>
      <c r="E336" s="627">
        <v>0.99980000000000002</v>
      </c>
      <c r="F336" s="627" t="e">
        <f t="shared" ref="F336:F341" si="1">C336*$D$322^(D336)</f>
        <v>#DIV/0!</v>
      </c>
    </row>
    <row r="337" spans="2:6" outlineLevel="1">
      <c r="B337" s="626">
        <v>25</v>
      </c>
      <c r="C337" s="627">
        <v>1.2690999999999999</v>
      </c>
      <c r="D337" s="627">
        <v>-0.93899999999999995</v>
      </c>
      <c r="E337" s="627">
        <v>0.99980000000000002</v>
      </c>
      <c r="F337" s="627" t="e">
        <f t="shared" si="1"/>
        <v>#DIV/0!</v>
      </c>
    </row>
    <row r="338" spans="2:6" outlineLevel="1">
      <c r="B338" s="626">
        <v>50</v>
      </c>
      <c r="C338" s="627">
        <v>1.373</v>
      </c>
      <c r="D338" s="627">
        <v>-0.94299999999999995</v>
      </c>
      <c r="E338" s="627">
        <v>0.99980000000000002</v>
      </c>
      <c r="F338" s="627" t="e">
        <f t="shared" si="1"/>
        <v>#DIV/0!</v>
      </c>
    </row>
    <row r="339" spans="2:6" outlineLevel="1">
      <c r="B339" s="626">
        <v>75</v>
      </c>
      <c r="C339" s="627">
        <v>1.4766999999999999</v>
      </c>
      <c r="D339" s="627">
        <v>-0.94599999999999995</v>
      </c>
      <c r="E339" s="627">
        <v>0.99990000000000001</v>
      </c>
      <c r="F339" s="627" t="e">
        <f t="shared" si="1"/>
        <v>#DIV/0!</v>
      </c>
    </row>
    <row r="340" spans="2:6" outlineLevel="1">
      <c r="B340" s="626">
        <v>100</v>
      </c>
      <c r="C340" s="627">
        <v>1.5804</v>
      </c>
      <c r="D340" s="627">
        <v>-0.94899999999999995</v>
      </c>
      <c r="E340" s="627">
        <v>0.99990000000000001</v>
      </c>
      <c r="F340" s="627" t="e">
        <f t="shared" si="1"/>
        <v>#DIV/0!</v>
      </c>
    </row>
    <row r="341" spans="2:6" outlineLevel="1">
      <c r="B341" s="626">
        <v>125</v>
      </c>
      <c r="C341" s="627">
        <v>1.6839</v>
      </c>
      <c r="D341" s="627">
        <v>-0.95199999999999996</v>
      </c>
      <c r="E341" s="627">
        <v>0.99990000000000001</v>
      </c>
      <c r="F341" s="627" t="e">
        <f t="shared" si="1"/>
        <v>#DIV/0!</v>
      </c>
    </row>
    <row r="342" spans="2:6" outlineLevel="1">
      <c r="D342" s="77"/>
    </row>
    <row r="343" spans="2:6">
      <c r="D343" s="77"/>
    </row>
    <row r="344" spans="2:6" s="162" customFormat="1">
      <c r="B344" s="162" t="s">
        <v>797</v>
      </c>
      <c r="D344" s="189"/>
    </row>
    <row r="345" spans="2:6" outlineLevel="1">
      <c r="D345" s="77"/>
    </row>
    <row r="346" spans="2:6" outlineLevel="1">
      <c r="B346" s="28" t="s">
        <v>769</v>
      </c>
      <c r="C346" s="28" t="s">
        <v>770</v>
      </c>
      <c r="D346" s="293" t="s">
        <v>771</v>
      </c>
    </row>
    <row r="347" spans="2:6" ht="16.5" outlineLevel="1">
      <c r="B347" s="118" t="s">
        <v>798</v>
      </c>
      <c r="C347" s="118" t="s">
        <v>799</v>
      </c>
      <c r="D347" s="120">
        <f>IF(Output_purity&lt;99.9%, 17.3/(29204*0.453592), IF(AND(Output_purity&gt;99.9%, OR(Initial_questions!$E$112=Units!$F$121,Initial_questions!$E$114=Units!$F$121)), 17.3/(29204*0.453592), 0))</f>
        <v>1.3059855659902531E-3</v>
      </c>
      <c r="E347" t="s">
        <v>800</v>
      </c>
    </row>
    <row r="348" spans="2:6" ht="16.5" outlineLevel="1">
      <c r="B348" t="s">
        <v>788</v>
      </c>
      <c r="C348" t="s">
        <v>789</v>
      </c>
      <c r="D348" s="323" t="str">
        <f>$D$330</f>
        <v>Yet to provide electricity source</v>
      </c>
    </row>
    <row r="349" spans="2:6" ht="16.5" outlineLevel="1">
      <c r="B349" s="28" t="s">
        <v>801</v>
      </c>
      <c r="C349" s="28" t="s">
        <v>791</v>
      </c>
      <c r="D349" s="121" t="str">
        <f>IFERROR(D347*D348/120, "Yet to provide electricity source")</f>
        <v>Yet to provide electricity source</v>
      </c>
    </row>
    <row r="350" spans="2:6" outlineLevel="1">
      <c r="D350" s="77"/>
    </row>
  </sheetData>
  <customSheetViews>
    <customSheetView guid="{2D920366-22B2-4182-A65D-0EDBE614FB37}" showGridLines="0">
      <pageMargins left="0" right="0" top="0" bottom="0" header="0" footer="0"/>
      <pageSetup paperSize="9" orientation="portrait" r:id="rId1"/>
    </customSheetView>
    <customSheetView guid="{F468A2FD-7987-4A9D-8BAE-1AACE523607F}" topLeftCell="A104">
      <selection activeCell="B120" sqref="B120"/>
      <pageMargins left="0" right="0" top="0" bottom="0" header="0" footer="0"/>
      <pageSetup paperSize="9" orientation="portrait" r:id="rId2"/>
    </customSheetView>
    <customSheetView guid="{D97B1299-69D0-4EE0-B673-CCF74742F96B}" topLeftCell="A104">
      <selection activeCell="B120" sqref="B120"/>
      <pageMargins left="0" right="0" top="0" bottom="0" header="0" footer="0"/>
      <pageSetup paperSize="9" orientation="portrait" r:id="rId3"/>
    </customSheetView>
    <customSheetView guid="{3F0A4FBA-5323-448F-A023-B3E14C54064C}" topLeftCell="A104">
      <selection activeCell="B120" sqref="B120"/>
      <pageMargins left="0" right="0" top="0" bottom="0" header="0" footer="0"/>
      <pageSetup paperSize="9" orientation="portrait" r:id="rId4"/>
    </customSheetView>
    <customSheetView guid="{E6EFD927-84B2-4D06-BB59-59D9DF522DA2}" showGridLines="0">
      <selection activeCell="B214" sqref="B214"/>
      <pageMargins left="0" right="0" top="0" bottom="0" header="0" footer="0"/>
      <pageSetup paperSize="9" orientation="portrait" r:id="rId5"/>
    </customSheetView>
    <customSheetView guid="{0E935136-9A80-44B6-88D5-61E64D742049}" showGridLines="0">
      <selection activeCell="B120" sqref="B120"/>
      <pageMargins left="0" right="0" top="0" bottom="0" header="0" footer="0"/>
      <pageSetup paperSize="9" orientation="portrait" r:id="rId6"/>
    </customSheetView>
    <customSheetView guid="{1C16EB38-F785-4168-9938-104594734038}" showGridLines="0">
      <selection activeCell="B214" sqref="B214"/>
      <pageMargins left="0" right="0" top="0" bottom="0" header="0" footer="0"/>
      <pageSetup paperSize="9" orientation="portrait" r:id="rId7"/>
    </customSheetView>
    <customSheetView guid="{EECBF9DF-6D77-4263-85DA-71E40216BADD}" showGridLines="0">
      <selection activeCell="B120" sqref="B120"/>
      <pageMargins left="0" right="0" top="0" bottom="0" header="0" footer="0"/>
      <pageSetup paperSize="9" orientation="portrait" r:id="rId8"/>
    </customSheetView>
    <customSheetView guid="{F03309BC-D3FA-4CF2-833B-D6D9A95FE1FB}" showGridLines="0">
      <selection activeCell="B120" sqref="B120"/>
      <pageMargins left="0" right="0" top="0" bottom="0" header="0" footer="0"/>
      <pageSetup paperSize="9" orientation="portrait" r:id="rId9"/>
    </customSheetView>
  </customSheetViews>
  <dataValidations disablePrompts="1" count="1">
    <dataValidation type="custom" allowBlank="1" showInputMessage="1" showErrorMessage="1" error="Please do not change these values" sqref="D322:D326 D331 B336:F341 D328 D347:D349" xr:uid="{1CB40847-4927-492B-871E-A5C6F226D270}">
      <formula1>"Please do not change these values"</formula1>
    </dataValidation>
  </dataValidations>
  <pageMargins left="0" right="0" top="0" bottom="0" header="0" footer="0"/>
  <pageSetup paperSize="9" orientation="portrait"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C7E8FA"/>
  </sheetPr>
  <dimension ref="B1:BD55"/>
  <sheetViews>
    <sheetView showGridLines="0" zoomScaleNormal="100" workbookViewId="0"/>
  </sheetViews>
  <sheetFormatPr defaultColWidth="10" defaultRowHeight="15" customHeight="1"/>
  <cols>
    <col min="1" max="1" width="7.81640625" customWidth="1"/>
    <col min="2" max="2" width="63.1796875" customWidth="1"/>
    <col min="3" max="3" width="7.81640625" customWidth="1"/>
    <col min="4" max="4" width="17.7265625" customWidth="1"/>
    <col min="5" max="37" width="7.81640625" customWidth="1"/>
  </cols>
  <sheetData>
    <row r="1" spans="2:56" ht="15" customHeight="1">
      <c r="C1" s="46"/>
      <c r="D1" s="46"/>
      <c r="E1" s="46"/>
      <c r="F1" s="46"/>
      <c r="G1" s="46"/>
      <c r="H1" s="46"/>
      <c r="I1" s="46"/>
      <c r="J1" s="46"/>
      <c r="K1" s="46"/>
      <c r="L1" s="46"/>
      <c r="M1" s="46"/>
      <c r="N1" s="46"/>
      <c r="O1" s="46"/>
      <c r="P1" s="46"/>
      <c r="Q1" s="46"/>
      <c r="R1" s="46"/>
      <c r="S1" s="46"/>
      <c r="T1" s="46"/>
      <c r="U1" s="46"/>
      <c r="V1" s="46"/>
      <c r="W1" s="46"/>
      <c r="X1" s="46"/>
      <c r="Y1" s="46"/>
      <c r="Z1" s="46"/>
      <c r="AA1" s="47"/>
      <c r="AB1" s="46"/>
      <c r="AC1" s="47"/>
      <c r="AD1" s="46"/>
      <c r="AE1" s="47"/>
      <c r="AF1" s="46"/>
      <c r="AG1" s="47"/>
      <c r="AH1" s="46"/>
      <c r="AI1" s="47"/>
      <c r="AJ1" s="46"/>
      <c r="AK1" s="47"/>
      <c r="AL1" s="46"/>
      <c r="AM1" s="47"/>
      <c r="AN1" s="46"/>
      <c r="AO1" s="47"/>
      <c r="AP1" s="46"/>
      <c r="AQ1" s="47"/>
      <c r="AR1" s="46"/>
      <c r="AS1" s="47"/>
      <c r="AT1" s="46"/>
      <c r="AU1" s="47"/>
      <c r="AV1" s="46"/>
      <c r="AW1" s="47"/>
      <c r="AX1" s="46"/>
      <c r="AY1" s="47"/>
      <c r="AZ1" s="46"/>
      <c r="BA1" s="47"/>
      <c r="BB1" s="46"/>
      <c r="BC1" s="47"/>
      <c r="BD1" s="46"/>
    </row>
    <row r="2" spans="2:56" s="276" customFormat="1" ht="15" customHeight="1">
      <c r="B2" s="281" t="s">
        <v>869</v>
      </c>
      <c r="C2" s="281"/>
      <c r="D2" s="281"/>
      <c r="E2" s="281"/>
      <c r="F2" s="282"/>
      <c r="G2" s="282"/>
      <c r="H2" s="282"/>
      <c r="I2" s="282"/>
      <c r="J2" s="282"/>
      <c r="K2" s="282"/>
      <c r="L2" s="282"/>
      <c r="M2" s="282"/>
      <c r="N2" s="282"/>
      <c r="O2" s="282"/>
      <c r="P2" s="282"/>
      <c r="Q2" s="282"/>
      <c r="R2" s="282"/>
      <c r="S2" s="282"/>
      <c r="T2" s="282"/>
      <c r="U2" s="282"/>
      <c r="V2" s="282"/>
      <c r="W2" s="282"/>
      <c r="X2" s="282"/>
      <c r="Y2" s="282"/>
      <c r="Z2" s="282"/>
      <c r="AA2" s="283"/>
      <c r="AB2" s="282"/>
      <c r="AC2" s="283"/>
      <c r="AD2" s="282"/>
      <c r="AE2" s="283"/>
      <c r="AF2" s="282"/>
      <c r="AG2" s="283"/>
      <c r="AH2" s="282"/>
      <c r="AI2" s="283"/>
      <c r="AJ2" s="282"/>
      <c r="AK2" s="283"/>
      <c r="AL2" s="282"/>
      <c r="AM2" s="283"/>
      <c r="AN2" s="282"/>
      <c r="AO2" s="283"/>
      <c r="AP2" s="282"/>
      <c r="AQ2" s="283"/>
      <c r="AR2" s="282"/>
      <c r="AS2" s="283"/>
      <c r="AT2" s="282"/>
      <c r="AU2" s="283"/>
      <c r="AV2" s="282"/>
      <c r="AW2" s="283"/>
      <c r="AX2" s="282"/>
      <c r="AY2" s="283"/>
      <c r="AZ2" s="282"/>
      <c r="BA2" s="283"/>
      <c r="BB2" s="282"/>
      <c r="BC2" s="283"/>
      <c r="BD2" s="282"/>
    </row>
    <row r="3" spans="2:56" ht="15" customHeight="1">
      <c r="B3" s="48"/>
      <c r="C3" s="48"/>
      <c r="D3" s="48"/>
      <c r="E3" s="48"/>
      <c r="F3" s="46"/>
      <c r="G3" s="46"/>
      <c r="H3" s="46"/>
      <c r="I3" s="46"/>
      <c r="J3" s="46"/>
      <c r="K3" s="46"/>
      <c r="L3" s="46"/>
      <c r="M3" s="46"/>
      <c r="N3" s="46"/>
      <c r="O3" s="46"/>
      <c r="P3" s="46"/>
      <c r="Q3" s="46"/>
      <c r="R3" s="46"/>
      <c r="S3" s="46"/>
      <c r="T3" s="46"/>
      <c r="U3" s="46"/>
      <c r="V3" s="46"/>
      <c r="W3" s="46"/>
      <c r="X3" s="46"/>
      <c r="Y3" s="46"/>
      <c r="Z3" s="46"/>
      <c r="AA3" s="47"/>
      <c r="AB3" s="46"/>
      <c r="AC3" s="47"/>
      <c r="AD3" s="46"/>
      <c r="AE3" s="47"/>
      <c r="AF3" s="46"/>
      <c r="AG3" s="47"/>
      <c r="AH3" s="46"/>
      <c r="AI3" s="47"/>
      <c r="AJ3" s="46"/>
      <c r="AK3" s="47"/>
      <c r="AL3" s="46"/>
      <c r="AM3" s="47"/>
      <c r="AN3" s="46"/>
      <c r="AO3" s="47"/>
      <c r="AP3" s="46"/>
      <c r="AQ3" s="47"/>
      <c r="AR3" s="46"/>
      <c r="AS3" s="47"/>
      <c r="AT3" s="46"/>
      <c r="AU3" s="47"/>
      <c r="AV3" s="46"/>
      <c r="AW3" s="47"/>
      <c r="AX3" s="46"/>
      <c r="AY3" s="47"/>
      <c r="AZ3" s="46"/>
      <c r="BA3" s="47"/>
      <c r="BB3" s="46"/>
      <c r="BC3" s="47"/>
      <c r="BD3" s="46"/>
    </row>
    <row r="4" spans="2:56" ht="15" customHeight="1">
      <c r="B4" s="49" t="s">
        <v>870</v>
      </c>
      <c r="C4" s="48"/>
      <c r="D4" s="45" t="s">
        <v>871</v>
      </c>
      <c r="E4" s="48"/>
      <c r="F4" s="46"/>
      <c r="G4" s="46"/>
      <c r="H4" s="46"/>
      <c r="I4" s="46"/>
      <c r="J4" s="46"/>
      <c r="K4" s="46"/>
      <c r="L4" s="46"/>
      <c r="M4" s="46"/>
      <c r="N4" s="46"/>
      <c r="O4" s="46"/>
      <c r="P4" s="46"/>
      <c r="Q4" s="46"/>
      <c r="R4" s="46"/>
      <c r="S4" s="46"/>
      <c r="T4" s="46"/>
      <c r="U4" s="46"/>
      <c r="V4" s="46"/>
      <c r="W4" s="46"/>
      <c r="X4" s="46"/>
      <c r="Y4" s="46"/>
      <c r="Z4" s="46"/>
      <c r="AA4" s="47"/>
      <c r="AB4" s="46"/>
      <c r="AC4" s="47"/>
      <c r="AD4" s="46"/>
      <c r="AE4" s="47"/>
      <c r="AF4" s="46"/>
      <c r="AG4" s="47"/>
      <c r="AH4" s="46"/>
      <c r="AI4" s="47"/>
      <c r="AJ4" s="46"/>
      <c r="AK4" s="47"/>
      <c r="AL4" s="46"/>
      <c r="AM4" s="47"/>
      <c r="AN4" s="46"/>
      <c r="AO4" s="47"/>
      <c r="AP4" s="46"/>
      <c r="AQ4" s="47"/>
      <c r="AR4" s="46"/>
      <c r="AS4" s="47"/>
      <c r="AT4" s="46"/>
      <c r="AU4" s="47"/>
      <c r="AV4" s="46"/>
      <c r="AW4" s="47"/>
      <c r="AX4" s="46"/>
      <c r="AY4" s="47"/>
      <c r="AZ4" s="46"/>
      <c r="BA4" s="47"/>
      <c r="BB4" s="46"/>
      <c r="BC4" s="47"/>
      <c r="BD4" s="46"/>
    </row>
    <row r="5" spans="2:56" ht="15" customHeight="1">
      <c r="B5" s="49" t="s">
        <v>872</v>
      </c>
      <c r="C5" s="48"/>
      <c r="D5" s="45" t="s">
        <v>871</v>
      </c>
      <c r="E5" s="48"/>
      <c r="F5" s="46"/>
      <c r="G5" s="46"/>
      <c r="H5" s="46"/>
      <c r="I5" s="46"/>
      <c r="J5" s="46"/>
      <c r="K5" s="46"/>
      <c r="L5" s="46"/>
      <c r="M5" s="46"/>
      <c r="N5" s="46"/>
      <c r="O5" s="46"/>
      <c r="P5" s="46"/>
      <c r="Q5" s="46"/>
      <c r="R5" s="46"/>
      <c r="S5" s="46"/>
      <c r="T5" s="46"/>
      <c r="U5" s="46"/>
      <c r="V5" s="46"/>
      <c r="W5" s="46"/>
      <c r="X5" s="46"/>
      <c r="Y5" s="46"/>
      <c r="Z5" s="46"/>
      <c r="AA5" s="47"/>
      <c r="AB5" s="46"/>
      <c r="AC5" s="47"/>
      <c r="AD5" s="46"/>
      <c r="AE5" s="47"/>
      <c r="AF5" s="46"/>
      <c r="AG5" s="47"/>
      <c r="AH5" s="46"/>
      <c r="AI5" s="47"/>
      <c r="AJ5" s="46"/>
      <c r="AK5" s="47"/>
      <c r="AL5" s="46"/>
      <c r="AM5" s="47"/>
      <c r="AN5" s="46"/>
      <c r="AO5" s="47"/>
      <c r="AP5" s="46"/>
      <c r="AQ5" s="47"/>
      <c r="AR5" s="46"/>
      <c r="AS5" s="47"/>
      <c r="AT5" s="46"/>
      <c r="AU5" s="47"/>
      <c r="AV5" s="46"/>
      <c r="AW5" s="47"/>
      <c r="AX5" s="46"/>
      <c r="AY5" s="47"/>
      <c r="AZ5" s="46"/>
      <c r="BA5" s="47"/>
      <c r="BB5" s="46"/>
      <c r="BC5" s="47"/>
      <c r="BD5" s="46"/>
    </row>
    <row r="6" spans="2:56" ht="15" customHeight="1">
      <c r="B6" s="49" t="s">
        <v>873</v>
      </c>
      <c r="C6" s="48"/>
      <c r="D6" s="45" t="s">
        <v>871</v>
      </c>
      <c r="E6" s="48"/>
      <c r="F6" s="46"/>
      <c r="G6" s="46"/>
      <c r="H6" s="46"/>
      <c r="I6" s="46"/>
      <c r="J6" s="46"/>
      <c r="K6" s="46"/>
      <c r="L6" s="46"/>
      <c r="M6" s="46"/>
      <c r="N6" s="46"/>
      <c r="O6" s="46"/>
      <c r="P6" s="46"/>
      <c r="Q6" s="46"/>
      <c r="R6" s="46"/>
      <c r="S6" s="46"/>
      <c r="T6" s="46"/>
      <c r="U6" s="46"/>
      <c r="V6" s="46"/>
      <c r="W6" s="46"/>
      <c r="X6" s="46"/>
      <c r="Y6" s="46"/>
      <c r="Z6" s="46"/>
      <c r="AA6" s="47"/>
      <c r="AB6" s="46"/>
      <c r="AC6" s="47"/>
      <c r="AD6" s="46"/>
      <c r="AE6" s="47"/>
      <c r="AF6" s="46"/>
      <c r="AG6" s="47"/>
      <c r="AH6" s="46"/>
      <c r="AI6" s="47"/>
      <c r="AJ6" s="46"/>
      <c r="AK6" s="47"/>
      <c r="AL6" s="46"/>
      <c r="AM6" s="47"/>
      <c r="AN6" s="46"/>
      <c r="AO6" s="47"/>
      <c r="AP6" s="46"/>
      <c r="AQ6" s="47"/>
      <c r="AR6" s="46"/>
      <c r="AS6" s="47"/>
      <c r="AT6" s="46"/>
      <c r="AU6" s="47"/>
      <c r="AV6" s="46"/>
      <c r="AW6" s="47"/>
      <c r="AX6" s="46"/>
      <c r="AY6" s="47"/>
      <c r="AZ6" s="46"/>
      <c r="BA6" s="47"/>
      <c r="BB6" s="46"/>
      <c r="BC6" s="47"/>
      <c r="BD6" s="46"/>
    </row>
    <row r="7" spans="2:56" ht="15" customHeight="1">
      <c r="B7" s="48"/>
      <c r="C7" s="48"/>
      <c r="D7" s="48"/>
      <c r="E7" s="48"/>
      <c r="F7" s="46"/>
      <c r="G7" s="46"/>
      <c r="H7" s="46"/>
      <c r="I7" s="46"/>
      <c r="J7" s="46"/>
      <c r="K7" s="46"/>
      <c r="L7" s="46"/>
      <c r="M7" s="46"/>
      <c r="N7" s="46"/>
      <c r="O7" s="46"/>
      <c r="P7" s="46"/>
      <c r="Q7" s="46"/>
      <c r="R7" s="46"/>
      <c r="S7" s="46"/>
      <c r="T7" s="46"/>
      <c r="U7" s="46"/>
      <c r="V7" s="46"/>
      <c r="W7" s="46"/>
      <c r="X7" s="46"/>
      <c r="Y7" s="46"/>
      <c r="Z7" s="46"/>
      <c r="AA7" s="47"/>
      <c r="AB7" s="46"/>
      <c r="AC7" s="47"/>
      <c r="AD7" s="46"/>
      <c r="AE7" s="47"/>
      <c r="AF7" s="46"/>
      <c r="AG7" s="47"/>
      <c r="AH7" s="46"/>
      <c r="AI7" s="47"/>
      <c r="AJ7" s="46"/>
      <c r="AK7" s="47"/>
      <c r="AL7" s="46"/>
      <c r="AM7" s="47"/>
      <c r="AN7" s="46"/>
      <c r="AO7" s="47"/>
      <c r="AP7" s="46"/>
      <c r="AQ7" s="47"/>
      <c r="AR7" s="46"/>
      <c r="AS7" s="47"/>
      <c r="AT7" s="46"/>
      <c r="AU7" s="47"/>
      <c r="AV7" s="46"/>
      <c r="AW7" s="47"/>
      <c r="AX7" s="46"/>
      <c r="AY7" s="47"/>
      <c r="AZ7" s="46"/>
      <c r="BA7" s="47"/>
      <c r="BB7" s="46"/>
      <c r="BC7" s="47"/>
      <c r="BD7" s="46"/>
    </row>
    <row r="8" spans="2:56" ht="15" customHeight="1">
      <c r="B8" s="50" t="s">
        <v>874</v>
      </c>
      <c r="D8" s="29" t="s">
        <v>875</v>
      </c>
      <c r="E8" s="49"/>
      <c r="F8" s="46"/>
      <c r="G8" s="46"/>
      <c r="H8" s="46"/>
      <c r="I8" s="46"/>
      <c r="J8" s="46"/>
      <c r="K8" s="46"/>
      <c r="L8" s="46"/>
      <c r="M8" s="46"/>
      <c r="N8" s="46"/>
      <c r="O8" s="46"/>
      <c r="P8" s="46"/>
      <c r="Q8" s="46"/>
      <c r="R8" s="46"/>
      <c r="S8" s="46"/>
      <c r="T8" s="46"/>
      <c r="U8" s="46"/>
      <c r="V8" s="46"/>
      <c r="W8" s="46"/>
      <c r="X8" s="46"/>
      <c r="Y8" s="46"/>
      <c r="Z8" s="46"/>
      <c r="AA8" s="47"/>
      <c r="AB8" s="46"/>
      <c r="AC8" s="47"/>
      <c r="AD8" s="46"/>
      <c r="AE8" s="47"/>
      <c r="AF8" s="46"/>
      <c r="AG8" s="47"/>
      <c r="AH8" s="46"/>
      <c r="AI8" s="47"/>
      <c r="AJ8" s="46"/>
      <c r="AK8" s="47"/>
      <c r="AL8" s="46"/>
      <c r="AM8" s="47"/>
      <c r="AN8" s="46"/>
      <c r="AO8" s="47"/>
      <c r="AP8" s="46"/>
      <c r="AQ8" s="47"/>
      <c r="AR8" s="46"/>
      <c r="AS8" s="47"/>
      <c r="AT8" s="46"/>
      <c r="AU8" s="47"/>
      <c r="AV8" s="46"/>
      <c r="AW8" s="47"/>
      <c r="AX8" s="46"/>
      <c r="AY8" s="47"/>
      <c r="AZ8" s="46"/>
      <c r="BA8" s="47"/>
      <c r="BB8" s="46"/>
      <c r="BC8" s="47"/>
      <c r="BD8" s="46"/>
    </row>
    <row r="9" spans="2:56" ht="15" customHeight="1">
      <c r="B9" s="49" t="s">
        <v>876</v>
      </c>
      <c r="D9" s="29" t="s">
        <v>877</v>
      </c>
      <c r="E9" s="49"/>
      <c r="F9" s="46"/>
      <c r="G9" s="46"/>
      <c r="H9" s="46"/>
      <c r="I9" s="46"/>
      <c r="J9" s="46"/>
      <c r="K9" s="46"/>
      <c r="L9" s="46"/>
      <c r="M9" s="46"/>
      <c r="N9" s="46"/>
      <c r="O9" s="46"/>
      <c r="P9" s="46"/>
      <c r="Q9" s="46"/>
      <c r="R9" s="46"/>
      <c r="S9" s="46"/>
      <c r="T9" s="46"/>
      <c r="U9" s="46"/>
      <c r="V9" s="46"/>
      <c r="W9" s="46"/>
      <c r="X9" s="46"/>
      <c r="Y9" s="46"/>
      <c r="Z9" s="46"/>
      <c r="AA9" s="47"/>
      <c r="AB9" s="46"/>
      <c r="AC9" s="47"/>
      <c r="AD9" s="46"/>
      <c r="AE9" s="47"/>
      <c r="AF9" s="46"/>
      <c r="AG9" s="47"/>
      <c r="AH9" s="46"/>
      <c r="AI9" s="47"/>
      <c r="AJ9" s="46"/>
      <c r="AK9" s="47"/>
      <c r="AL9" s="46"/>
      <c r="AM9" s="47"/>
      <c r="AN9" s="46"/>
      <c r="AO9" s="47"/>
      <c r="AP9" s="46"/>
      <c r="AQ9" s="47"/>
      <c r="AR9" s="46"/>
      <c r="AS9" s="47"/>
      <c r="AT9" s="46"/>
      <c r="AU9" s="47"/>
      <c r="AV9" s="46"/>
      <c r="AW9" s="47"/>
      <c r="AX9" s="46"/>
      <c r="AY9" s="47"/>
      <c r="AZ9" s="46"/>
      <c r="BA9" s="47"/>
      <c r="BB9" s="46"/>
      <c r="BC9" s="47"/>
      <c r="BD9" s="46"/>
    </row>
    <row r="10" spans="2:56" ht="15" customHeight="1">
      <c r="B10" t="s">
        <v>878</v>
      </c>
      <c r="D10" s="29" t="s">
        <v>879</v>
      </c>
      <c r="E10" s="49"/>
      <c r="F10" s="46"/>
      <c r="G10" s="46"/>
      <c r="H10" s="46"/>
      <c r="I10" s="46"/>
      <c r="J10" s="46"/>
      <c r="K10" s="46"/>
      <c r="L10" s="46"/>
      <c r="M10" s="46"/>
      <c r="N10" s="46"/>
      <c r="O10" s="46"/>
      <c r="P10" s="46"/>
      <c r="Q10" s="46"/>
      <c r="R10" s="46"/>
      <c r="S10" s="46"/>
      <c r="T10" s="46"/>
      <c r="U10" s="46"/>
      <c r="V10" s="46"/>
      <c r="W10" s="46"/>
      <c r="X10" s="46"/>
      <c r="Y10" s="46"/>
      <c r="Z10" s="46"/>
      <c r="AA10" s="47"/>
      <c r="AB10" s="46"/>
      <c r="AC10" s="47"/>
      <c r="AD10" s="46"/>
      <c r="AE10" s="47"/>
      <c r="AF10" s="46"/>
      <c r="AG10" s="47"/>
      <c r="AH10" s="46"/>
      <c r="AI10" s="47"/>
      <c r="AJ10" s="46"/>
      <c r="AK10" s="47"/>
      <c r="AL10" s="46"/>
      <c r="AM10" s="47"/>
      <c r="AN10" s="46"/>
      <c r="AO10" s="47"/>
      <c r="AP10" s="46"/>
      <c r="AQ10" s="47"/>
      <c r="AR10" s="46"/>
      <c r="AS10" s="47"/>
      <c r="AT10" s="46"/>
      <c r="AU10" s="47"/>
      <c r="AV10" s="46"/>
      <c r="AW10" s="47"/>
      <c r="AX10" s="46"/>
      <c r="AY10" s="47"/>
      <c r="AZ10" s="46"/>
      <c r="BA10" s="47"/>
      <c r="BB10" s="46"/>
      <c r="BC10" s="47"/>
      <c r="BD10" s="46"/>
    </row>
    <row r="11" spans="2:56" ht="15" customHeight="1">
      <c r="B11" t="s">
        <v>880</v>
      </c>
      <c r="D11" s="29" t="s">
        <v>881</v>
      </c>
      <c r="E11" s="49"/>
      <c r="F11" s="46"/>
      <c r="G11" s="46"/>
      <c r="H11" s="46"/>
      <c r="I11" s="46"/>
      <c r="J11" s="46"/>
      <c r="K11" s="46"/>
      <c r="L11" s="46"/>
      <c r="M11" s="46"/>
      <c r="N11" s="46"/>
      <c r="O11" s="46"/>
      <c r="P11" s="46"/>
      <c r="Q11" s="46"/>
      <c r="R11" s="46"/>
      <c r="S11" s="46"/>
      <c r="T11" s="46"/>
      <c r="U11" s="46"/>
      <c r="V11" s="46"/>
      <c r="W11" s="46"/>
      <c r="X11" s="46"/>
      <c r="Y11" s="46"/>
      <c r="Z11" s="46"/>
      <c r="AA11" s="47"/>
      <c r="AB11" s="46"/>
      <c r="AC11" s="47"/>
      <c r="AD11" s="46"/>
      <c r="AE11" s="47"/>
      <c r="AF11" s="46"/>
      <c r="AG11" s="47"/>
      <c r="AH11" s="46"/>
      <c r="AI11" s="47"/>
      <c r="AJ11" s="46"/>
      <c r="AK11" s="47"/>
      <c r="AL11" s="46"/>
      <c r="AM11" s="47"/>
      <c r="AN11" s="46"/>
      <c r="AO11" s="47"/>
      <c r="AP11" s="46"/>
      <c r="AQ11" s="47"/>
      <c r="AR11" s="46"/>
      <c r="AS11" s="47"/>
      <c r="AT11" s="46"/>
      <c r="AU11" s="47"/>
      <c r="AV11" s="46"/>
      <c r="AW11" s="47"/>
      <c r="AX11" s="46"/>
      <c r="AY11" s="47"/>
      <c r="AZ11" s="46"/>
      <c r="BA11" s="47"/>
      <c r="BB11" s="46"/>
      <c r="BC11" s="47"/>
      <c r="BD11" s="46"/>
    </row>
    <row r="12" spans="2:56" ht="15" customHeight="1">
      <c r="D12" s="29"/>
      <c r="E12" s="49"/>
      <c r="F12" s="46"/>
      <c r="G12" s="46"/>
      <c r="H12" s="46"/>
      <c r="I12" s="46"/>
      <c r="J12" s="46"/>
      <c r="K12" s="46"/>
      <c r="L12" s="46"/>
      <c r="M12" s="46"/>
      <c r="N12" s="46"/>
      <c r="O12" s="46"/>
      <c r="P12" s="46"/>
      <c r="Q12" s="46"/>
      <c r="R12" s="46"/>
      <c r="S12" s="46"/>
      <c r="T12" s="46"/>
      <c r="U12" s="46"/>
      <c r="V12" s="46"/>
      <c r="W12" s="46"/>
      <c r="X12" s="46"/>
      <c r="Y12" s="46"/>
      <c r="Z12" s="46"/>
      <c r="AA12" s="47"/>
      <c r="AB12" s="46"/>
      <c r="AC12" s="47"/>
      <c r="AD12" s="46"/>
      <c r="AE12" s="47"/>
      <c r="AF12" s="46"/>
      <c r="AG12" s="47"/>
      <c r="AH12" s="46"/>
      <c r="AI12" s="47"/>
      <c r="AJ12" s="46"/>
      <c r="AK12" s="47"/>
      <c r="AL12" s="46"/>
      <c r="AM12" s="47"/>
      <c r="AN12" s="46"/>
      <c r="AO12" s="47"/>
      <c r="AP12" s="46"/>
      <c r="AQ12" s="47"/>
      <c r="AR12" s="46"/>
      <c r="AS12" s="47"/>
      <c r="AT12" s="46"/>
      <c r="AU12" s="47"/>
      <c r="AV12" s="46"/>
      <c r="AW12" s="47"/>
      <c r="AX12" s="46"/>
      <c r="AY12" s="47"/>
      <c r="AZ12" s="46"/>
      <c r="BA12" s="47"/>
      <c r="BB12" s="46"/>
      <c r="BC12" s="47"/>
      <c r="BD12" s="46"/>
    </row>
    <row r="13" spans="2:56" ht="15" customHeight="1">
      <c r="B13" s="446" t="s">
        <v>882</v>
      </c>
      <c r="D13" s="29"/>
      <c r="E13" s="49"/>
      <c r="F13" s="46"/>
      <c r="G13" s="46"/>
      <c r="H13" s="46"/>
      <c r="I13" s="46"/>
      <c r="J13" s="46"/>
      <c r="K13" s="46"/>
      <c r="L13" s="46"/>
      <c r="M13" s="46"/>
      <c r="N13" s="46"/>
      <c r="O13" s="46"/>
      <c r="P13" s="46"/>
      <c r="Q13" s="46"/>
      <c r="R13" s="46"/>
      <c r="S13" s="46"/>
      <c r="T13" s="46"/>
      <c r="U13" s="46"/>
      <c r="V13" s="46"/>
      <c r="W13" s="46"/>
      <c r="X13" s="46"/>
      <c r="Y13" s="46"/>
      <c r="Z13" s="46"/>
      <c r="AA13" s="47"/>
      <c r="AB13" s="46"/>
      <c r="AC13" s="47"/>
      <c r="AD13" s="46"/>
      <c r="AE13" s="47"/>
      <c r="AF13" s="46"/>
      <c r="AG13" s="47"/>
      <c r="AH13" s="46"/>
      <c r="AI13" s="47"/>
      <c r="AJ13" s="46"/>
      <c r="AK13" s="47"/>
      <c r="AL13" s="46"/>
      <c r="AM13" s="47"/>
      <c r="AN13" s="46"/>
      <c r="AO13" s="47"/>
      <c r="AP13" s="46"/>
      <c r="AQ13" s="47"/>
      <c r="AR13" s="46"/>
      <c r="AS13" s="47"/>
      <c r="AT13" s="46"/>
      <c r="AU13" s="47"/>
      <c r="AV13" s="46"/>
      <c r="AW13" s="47"/>
      <c r="AX13" s="46"/>
      <c r="AY13" s="47"/>
      <c r="AZ13" s="46"/>
      <c r="BA13" s="47"/>
      <c r="BB13" s="46"/>
      <c r="BC13" s="47"/>
      <c r="BD13" s="46"/>
    </row>
    <row r="14" spans="2:56" ht="15" customHeight="1">
      <c r="B14" t="s">
        <v>883</v>
      </c>
      <c r="D14" s="45" t="s">
        <v>884</v>
      </c>
      <c r="E14" s="49"/>
      <c r="F14" s="46"/>
      <c r="G14" s="46"/>
      <c r="H14" s="46"/>
      <c r="I14" s="46"/>
      <c r="J14" s="46"/>
      <c r="K14" s="46"/>
      <c r="L14" s="46"/>
      <c r="M14" s="46"/>
      <c r="N14" s="46"/>
      <c r="O14" s="46"/>
      <c r="P14" s="46"/>
      <c r="Q14" s="46"/>
      <c r="R14" s="46"/>
      <c r="S14" s="46"/>
      <c r="T14" s="46"/>
      <c r="U14" s="46"/>
      <c r="V14" s="46"/>
      <c r="W14" s="46"/>
      <c r="X14" s="46"/>
      <c r="Y14" s="46"/>
      <c r="Z14" s="46"/>
      <c r="AA14" s="47"/>
      <c r="AB14" s="46"/>
      <c r="AC14" s="47"/>
      <c r="AD14" s="46"/>
      <c r="AE14" s="47"/>
      <c r="AF14" s="46"/>
      <c r="AG14" s="47"/>
      <c r="AH14" s="46"/>
      <c r="AI14" s="47"/>
      <c r="AJ14" s="46"/>
      <c r="AK14" s="47"/>
      <c r="AL14" s="46"/>
      <c r="AM14" s="47"/>
      <c r="AN14" s="46"/>
      <c r="AO14" s="47"/>
      <c r="AP14" s="46"/>
      <c r="AQ14" s="47"/>
      <c r="AR14" s="46"/>
      <c r="AS14" s="47"/>
      <c r="AT14" s="46"/>
      <c r="AU14" s="47"/>
      <c r="AV14" s="46"/>
      <c r="AW14" s="47"/>
      <c r="AX14" s="46"/>
      <c r="AY14" s="47"/>
      <c r="AZ14" s="46"/>
      <c r="BA14" s="47"/>
      <c r="BB14" s="46"/>
      <c r="BC14" s="47"/>
      <c r="BD14" s="46"/>
    </row>
    <row r="15" spans="2:56" ht="15" customHeight="1">
      <c r="B15" s="50" t="s">
        <v>885</v>
      </c>
      <c r="D15" s="29" t="s">
        <v>886</v>
      </c>
      <c r="E15" s="49"/>
      <c r="F15" s="46"/>
      <c r="G15" s="46"/>
      <c r="H15" s="46"/>
      <c r="I15" s="46"/>
      <c r="J15" s="46"/>
      <c r="K15" s="46"/>
      <c r="L15" s="46"/>
      <c r="M15" s="46"/>
      <c r="N15" s="46"/>
      <c r="O15" s="46"/>
      <c r="P15" s="46"/>
      <c r="Q15" s="46"/>
      <c r="R15" s="46"/>
      <c r="S15" s="46"/>
      <c r="T15" s="46"/>
      <c r="U15" s="46"/>
      <c r="V15" s="46"/>
      <c r="W15" s="46"/>
      <c r="X15" s="46"/>
      <c r="Y15" s="46"/>
      <c r="Z15" s="46"/>
      <c r="AA15" s="47"/>
      <c r="AB15" s="46"/>
      <c r="AC15" s="47"/>
      <c r="AD15" s="46"/>
      <c r="AE15" s="47"/>
      <c r="AF15" s="46"/>
      <c r="AG15" s="47"/>
      <c r="AH15" s="46"/>
      <c r="AI15" s="47"/>
      <c r="AJ15" s="46"/>
      <c r="AK15" s="47"/>
      <c r="AL15" s="46"/>
      <c r="AM15" s="47"/>
      <c r="AN15" s="46"/>
      <c r="AO15" s="47"/>
      <c r="AP15" s="46"/>
      <c r="AQ15" s="47"/>
      <c r="AR15" s="46"/>
      <c r="AS15" s="47"/>
      <c r="AT15" s="46"/>
      <c r="AU15" s="47"/>
      <c r="AV15" s="46"/>
      <c r="AW15" s="47"/>
      <c r="AX15" s="46"/>
      <c r="AY15" s="47"/>
      <c r="AZ15" s="46"/>
      <c r="BA15" s="47"/>
      <c r="BB15" s="46"/>
      <c r="BC15" s="47"/>
      <c r="BD15" s="46"/>
    </row>
    <row r="16" spans="2:56" ht="15" customHeight="1">
      <c r="B16" s="50" t="s">
        <v>887</v>
      </c>
      <c r="D16" s="29" t="s">
        <v>888</v>
      </c>
      <c r="E16" s="49"/>
      <c r="F16" s="46"/>
      <c r="G16" s="46"/>
      <c r="H16" s="46"/>
      <c r="I16" s="46"/>
      <c r="J16" s="46"/>
      <c r="K16" s="46"/>
      <c r="L16" s="46"/>
      <c r="M16" s="46"/>
      <c r="N16" s="46"/>
      <c r="O16" s="46"/>
      <c r="P16" s="46"/>
      <c r="Q16" s="46"/>
      <c r="R16" s="46"/>
      <c r="S16" s="46"/>
      <c r="T16" s="46"/>
      <c r="U16" s="46"/>
      <c r="V16" s="46"/>
      <c r="W16" s="46"/>
      <c r="X16" s="46"/>
      <c r="Y16" s="46"/>
      <c r="Z16" s="46"/>
      <c r="AA16" s="47"/>
      <c r="AB16" s="46"/>
      <c r="AC16" s="47"/>
      <c r="AD16" s="46"/>
      <c r="AE16" s="47"/>
      <c r="AF16" s="46"/>
      <c r="AG16" s="47"/>
      <c r="AH16" s="46"/>
      <c r="AI16" s="47"/>
      <c r="AJ16" s="46"/>
      <c r="AK16" s="47"/>
      <c r="AL16" s="46"/>
      <c r="AM16" s="47"/>
      <c r="AN16" s="46"/>
      <c r="AO16" s="47"/>
      <c r="AP16" s="46"/>
      <c r="AQ16" s="47"/>
      <c r="AR16" s="46"/>
      <c r="AS16" s="47"/>
      <c r="AT16" s="46"/>
      <c r="AU16" s="47"/>
      <c r="AV16" s="46"/>
      <c r="AW16" s="47"/>
      <c r="AX16" s="46"/>
      <c r="AY16" s="47"/>
      <c r="AZ16" s="46"/>
      <c r="BA16" s="47"/>
      <c r="BB16" s="46"/>
      <c r="BC16" s="47"/>
      <c r="BD16" s="46"/>
    </row>
    <row r="17" spans="2:56" ht="15" customHeight="1">
      <c r="B17" s="50" t="s">
        <v>889</v>
      </c>
      <c r="D17" s="29" t="s">
        <v>890</v>
      </c>
      <c r="E17" s="49"/>
      <c r="F17" s="46"/>
      <c r="G17" s="46"/>
      <c r="H17" s="46"/>
      <c r="I17" s="46"/>
      <c r="J17" s="46"/>
      <c r="K17" s="46"/>
      <c r="L17" s="46"/>
      <c r="M17" s="46"/>
      <c r="N17" s="46"/>
      <c r="O17" s="46"/>
      <c r="P17" s="46"/>
      <c r="Q17" s="46"/>
      <c r="R17" s="46"/>
      <c r="S17" s="46"/>
      <c r="T17" s="46"/>
      <c r="U17" s="46"/>
      <c r="V17" s="46"/>
      <c r="W17" s="46"/>
      <c r="X17" s="46"/>
      <c r="Y17" s="46"/>
      <c r="Z17" s="46"/>
      <c r="AA17" s="47"/>
      <c r="AB17" s="46"/>
      <c r="AC17" s="47"/>
      <c r="AD17" s="46"/>
      <c r="AE17" s="47"/>
      <c r="AF17" s="46"/>
      <c r="AG17" s="47"/>
      <c r="AH17" s="46"/>
      <c r="AI17" s="47"/>
      <c r="AJ17" s="46"/>
      <c r="AK17" s="47"/>
      <c r="AL17" s="46"/>
      <c r="AM17" s="47"/>
      <c r="AN17" s="46"/>
      <c r="AO17" s="47"/>
      <c r="AP17" s="46"/>
      <c r="AQ17" s="47"/>
      <c r="AR17" s="46"/>
      <c r="AS17" s="47"/>
      <c r="AT17" s="46"/>
      <c r="AU17" s="47"/>
      <c r="AV17" s="46"/>
      <c r="AW17" s="47"/>
      <c r="AX17" s="46"/>
      <c r="AY17" s="47"/>
      <c r="AZ17" s="46"/>
      <c r="BA17" s="47"/>
      <c r="BB17" s="46"/>
      <c r="BC17" s="47"/>
      <c r="BD17" s="46"/>
    </row>
    <row r="18" spans="2:56" ht="15" customHeight="1">
      <c r="B18" s="50" t="s">
        <v>891</v>
      </c>
      <c r="D18" s="29" t="s">
        <v>892</v>
      </c>
      <c r="E18" s="49"/>
      <c r="F18" s="46"/>
      <c r="G18" s="46"/>
      <c r="H18" s="46"/>
      <c r="I18" s="46"/>
      <c r="J18" s="46"/>
      <c r="K18" s="46"/>
      <c r="L18" s="46"/>
      <c r="M18" s="46"/>
      <c r="N18" s="46"/>
      <c r="O18" s="46"/>
      <c r="P18" s="46"/>
      <c r="Q18" s="46"/>
      <c r="R18" s="46"/>
      <c r="S18" s="46"/>
      <c r="T18" s="46"/>
      <c r="U18" s="46"/>
      <c r="V18" s="46"/>
      <c r="W18" s="46"/>
      <c r="X18" s="46"/>
      <c r="Y18" s="46"/>
      <c r="Z18" s="46"/>
      <c r="AA18" s="47"/>
      <c r="AB18" s="46"/>
      <c r="AC18" s="47"/>
      <c r="AD18" s="46"/>
      <c r="AE18" s="47"/>
      <c r="AF18" s="46"/>
      <c r="AG18" s="47"/>
      <c r="AH18" s="46"/>
      <c r="AI18" s="47"/>
      <c r="AJ18" s="46"/>
      <c r="AK18" s="47"/>
      <c r="AL18" s="46"/>
      <c r="AM18" s="47"/>
      <c r="AN18" s="46"/>
      <c r="AO18" s="47"/>
      <c r="AP18" s="46"/>
      <c r="AQ18" s="47"/>
      <c r="AR18" s="46"/>
      <c r="AS18" s="47"/>
      <c r="AT18" s="46"/>
      <c r="AU18" s="47"/>
      <c r="AV18" s="46"/>
      <c r="AW18" s="47"/>
      <c r="AX18" s="46"/>
      <c r="AY18" s="47"/>
      <c r="AZ18" s="46"/>
      <c r="BA18" s="47"/>
      <c r="BB18" s="46"/>
      <c r="BC18" s="47"/>
      <c r="BD18" s="46"/>
    </row>
    <row r="19" spans="2:56" ht="15" customHeight="1">
      <c r="B19" s="50" t="s">
        <v>893</v>
      </c>
      <c r="D19" s="29" t="s">
        <v>894</v>
      </c>
      <c r="E19" s="49"/>
      <c r="Z19" s="46"/>
      <c r="AA19" s="47"/>
      <c r="AB19" s="46"/>
      <c r="AC19" s="47"/>
      <c r="AD19" s="46"/>
      <c r="AE19" s="47"/>
      <c r="AF19" s="46"/>
      <c r="AG19" s="47"/>
      <c r="AH19" s="46"/>
      <c r="AI19" s="47"/>
      <c r="AJ19" s="46"/>
      <c r="AK19" s="47"/>
      <c r="AL19" s="46"/>
      <c r="AM19" s="47"/>
      <c r="AN19" s="46"/>
      <c r="AO19" s="47"/>
      <c r="AP19" s="46"/>
      <c r="AQ19" s="47"/>
      <c r="AR19" s="46"/>
      <c r="AS19" s="47"/>
      <c r="AT19" s="46"/>
      <c r="AU19" s="47"/>
      <c r="AV19" s="46"/>
      <c r="AW19" s="47"/>
      <c r="AX19" s="46"/>
      <c r="AY19" s="47"/>
      <c r="AZ19" s="46"/>
      <c r="BA19" s="47"/>
      <c r="BB19" s="46"/>
      <c r="BC19" s="47"/>
      <c r="BD19" s="46"/>
    </row>
    <row r="20" spans="2:56" ht="15" customHeight="1">
      <c r="B20" t="s">
        <v>895</v>
      </c>
      <c r="D20" s="624" t="s">
        <v>896</v>
      </c>
      <c r="E20" s="49"/>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row>
    <row r="21" spans="2:56" ht="15" customHeight="1">
      <c r="B21" t="s">
        <v>897</v>
      </c>
      <c r="C21" s="29"/>
      <c r="D21" s="29" t="s">
        <v>898</v>
      </c>
      <c r="E21" s="49"/>
    </row>
    <row r="22" spans="2:56" s="28" customFormat="1" ht="15" customHeight="1">
      <c r="B22" s="48"/>
      <c r="D22" s="48"/>
      <c r="E22" s="48"/>
    </row>
    <row r="23" spans="2:56" ht="15" customHeight="1">
      <c r="B23" s="49"/>
      <c r="D23" s="49"/>
      <c r="E23" s="49"/>
    </row>
    <row r="24" spans="2:56" ht="15" customHeight="1">
      <c r="B24" s="49"/>
      <c r="D24" s="49"/>
      <c r="E24" s="49"/>
    </row>
    <row r="25" spans="2:56" ht="15" customHeight="1">
      <c r="B25" s="49"/>
      <c r="C25" s="49"/>
    </row>
    <row r="26" spans="2:56" ht="15" customHeight="1">
      <c r="B26" s="49"/>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row>
    <row r="27" spans="2:56" ht="15" customHeight="1">
      <c r="B27" s="49"/>
    </row>
    <row r="28" spans="2:56" ht="15" customHeight="1">
      <c r="B28" s="49"/>
    </row>
    <row r="29" spans="2:56" ht="15" customHeight="1">
      <c r="B29" s="49"/>
    </row>
    <row r="30" spans="2:56" ht="15" customHeight="1">
      <c r="B30" s="49"/>
    </row>
    <row r="31" spans="2:56" ht="15" customHeight="1">
      <c r="B31" s="49"/>
    </row>
    <row r="32" spans="2:56" ht="15" customHeight="1">
      <c r="B32" s="49"/>
    </row>
    <row r="33" spans="2:2" ht="15" customHeight="1">
      <c r="B33" s="49"/>
    </row>
    <row r="34" spans="2:2" ht="15" customHeight="1">
      <c r="B34" s="49"/>
    </row>
    <row r="35" spans="2:2" ht="15" customHeight="1">
      <c r="B35" s="49"/>
    </row>
    <row r="36" spans="2:2" ht="15" customHeight="1">
      <c r="B36" s="49"/>
    </row>
    <row r="37" spans="2:2" ht="15" customHeight="1">
      <c r="B37" s="49"/>
    </row>
    <row r="38" spans="2:2" ht="15" customHeight="1">
      <c r="B38" s="49"/>
    </row>
    <row r="39" spans="2:2" ht="15" customHeight="1">
      <c r="B39" s="49"/>
    </row>
    <row r="40" spans="2:2" ht="15" customHeight="1">
      <c r="B40" s="49"/>
    </row>
    <row r="41" spans="2:2" ht="15" customHeight="1">
      <c r="B41" s="49"/>
    </row>
    <row r="42" spans="2:2" ht="15" customHeight="1">
      <c r="B42" s="49"/>
    </row>
    <row r="43" spans="2:2" ht="15" customHeight="1">
      <c r="B43" s="49"/>
    </row>
    <row r="44" spans="2:2" ht="15" customHeight="1">
      <c r="B44" s="49"/>
    </row>
    <row r="45" spans="2:2" ht="15" customHeight="1">
      <c r="B45" s="49"/>
    </row>
    <row r="46" spans="2:2" ht="15" customHeight="1">
      <c r="B46" s="49"/>
    </row>
    <row r="47" spans="2:2" ht="15" customHeight="1">
      <c r="B47" s="49"/>
    </row>
    <row r="48" spans="2:2" ht="15" customHeight="1">
      <c r="B48" s="49"/>
    </row>
    <row r="49" spans="2:2" ht="15" customHeight="1">
      <c r="B49" s="49"/>
    </row>
    <row r="50" spans="2:2" ht="15" customHeight="1">
      <c r="B50" s="49"/>
    </row>
    <row r="51" spans="2:2" ht="15" customHeight="1">
      <c r="B51" s="49"/>
    </row>
    <row r="52" spans="2:2" ht="15" customHeight="1">
      <c r="B52" s="49"/>
    </row>
    <row r="53" spans="2:2" ht="15" customHeight="1">
      <c r="B53" s="49"/>
    </row>
    <row r="54" spans="2:2" ht="15" customHeight="1">
      <c r="B54" s="49"/>
    </row>
    <row r="55" spans="2:2" ht="15" customHeight="1">
      <c r="B55" s="49"/>
    </row>
  </sheetData>
  <customSheetViews>
    <customSheetView guid="{2D920366-22B2-4182-A65D-0EDBE614FB37}" showGridLines="0">
      <pageMargins left="0" right="0" top="0" bottom="0" header="0" footer="0"/>
      <pageSetup orientation="portrait" r:id="rId1"/>
    </customSheetView>
    <customSheetView guid="{F468A2FD-7987-4A9D-8BAE-1AACE523607F}" showGridLines="0">
      <selection activeCell="D1" sqref="D1"/>
      <pageMargins left="0" right="0" top="0" bottom="0" header="0" footer="0"/>
      <pageSetup orientation="portrait" r:id="rId2"/>
    </customSheetView>
    <customSheetView guid="{D97B1299-69D0-4EE0-B673-CCF74742F96B}">
      <selection activeCell="D2" sqref="D2"/>
      <pageMargins left="0" right="0" top="0" bottom="0" header="0" footer="0"/>
      <pageSetup orientation="portrait" r:id="rId3"/>
    </customSheetView>
    <customSheetView guid="{3F0A4FBA-5323-448F-A023-B3E14C54064C}" showGridLines="0">
      <selection activeCell="D2" sqref="D2"/>
      <pageMargins left="0" right="0" top="0" bottom="0" header="0" footer="0"/>
      <pageSetup orientation="portrait" r:id="rId4"/>
    </customSheetView>
    <customSheetView guid="{E6EFD927-84B2-4D06-BB59-59D9DF522DA2}" showGridLines="0">
      <selection activeCell="D1" sqref="D1"/>
      <pageMargins left="0" right="0" top="0" bottom="0" header="0" footer="0"/>
      <pageSetup orientation="portrait" r:id="rId5"/>
    </customSheetView>
    <customSheetView guid="{0E935136-9A80-44B6-88D5-61E64D742049}" showGridLines="0">
      <selection activeCell="D1" sqref="D1"/>
      <pageMargins left="0" right="0" top="0" bottom="0" header="0" footer="0"/>
      <pageSetup orientation="portrait" r:id="rId6"/>
    </customSheetView>
    <customSheetView guid="{1C16EB38-F785-4168-9938-104594734038}" showGridLines="0">
      <selection activeCell="D1" sqref="D1"/>
      <pageMargins left="0" right="0" top="0" bottom="0" header="0" footer="0"/>
      <pageSetup orientation="portrait" r:id="rId7"/>
    </customSheetView>
    <customSheetView guid="{EECBF9DF-6D77-4263-85DA-71E40216BADD}" showGridLines="0">
      <selection activeCell="D1" sqref="D1"/>
      <pageMargins left="0" right="0" top="0" bottom="0" header="0" footer="0"/>
      <pageSetup orientation="portrait" r:id="rId8"/>
    </customSheetView>
    <customSheetView guid="{F03309BC-D3FA-4CF2-833B-D6D9A95FE1FB}" showGridLines="0">
      <selection activeCell="D2" sqref="D2"/>
      <pageMargins left="0" right="0" top="0" bottom="0" header="0" footer="0"/>
      <pageSetup orientation="portrait" r:id="rId9"/>
    </customSheetView>
  </customSheetViews>
  <hyperlinks>
    <hyperlink ref="D15" r:id="rId10" xr:uid="{66C3743A-E091-4527-A6C8-745852E550D8}"/>
    <hyperlink ref="D14" r:id="rId11" xr:uid="{A83A02C9-BC07-4BE9-A9BA-B495E4797C16}"/>
    <hyperlink ref="D11" r:id="rId12" xr:uid="{76C00A5E-1D15-4C02-8F59-2924936BD48D}"/>
    <hyperlink ref="D10" r:id="rId13" xr:uid="{28A59B46-8EE1-4EA2-A5A2-A559C4260402}"/>
    <hyperlink ref="D9" r:id="rId14" xr:uid="{8123D12B-FC65-48C7-B51D-D886173EEB0C}"/>
    <hyperlink ref="D8" r:id="rId15" xr:uid="{4628804A-9B53-46BB-90CF-913EF7A4DA82}"/>
    <hyperlink ref="D4" r:id="rId16" xr:uid="{6CC3E734-0235-49F4-9755-6E2442077FE5}"/>
    <hyperlink ref="D5:D6" r:id="rId17" display="https://www.gov.uk/government/publications/uk-low-carbon-hydrogen-standard-emissions-reporting-and-sustainability-criteria" xr:uid="{955FAEAF-F5E3-440F-ACD3-CE4E5EDEA992}"/>
    <hyperlink ref="D17" r:id="rId18" xr:uid="{F4F0DC14-445C-4A93-8664-713903D1D17B}"/>
    <hyperlink ref="D16" r:id="rId19" xr:uid="{3FDB72DD-7680-4A18-9EA9-5865AE8AC3FF}"/>
    <hyperlink ref="D21" r:id="rId20" display="https://eur01.safelinks.protection.outlook.com/?url=https%3A%2F%2Fiea.blob.core.windows.net%2Fassets%2Fdeebef5d-0c34-4539-9d0c-10b13d840027%2FNetZeroby2050-ARoadmapfortheGlobalEnergySector_CORR.pdf&amp;data=05%7C01%7Cvon.chua%40e4tech.com%7C6c43196d55c247d8ecda08da220ab27e%7Cf2fe6bd39c4a485bae69e18820a88130%7C0%7C0%7C637859726588645422%7CUnknown%7CTWFpbGZsb3d8eyJWIjoiMC4wLjAwMDAiLCJQIjoiV2luMzIiLCJBTiI6Ik1haWwiLCJXVCI6Mn0%3D%7C3000%7C%7C%7C&amp;sdata=rpG8wo6ixFZnPOqx8GTUyk7%2BxgrmPnJFOmN9oPewMQs%3D&amp;reserved=0" xr:uid="{44FC9FA0-9B7F-46A3-A23A-F6EB9E3286F6}"/>
    <hyperlink ref="D20" r:id="rId21" display="https://web.archive.org/web/20190605065129/http://www.arb.ca.gov/fuels/lcfs/workgroups/lcfssustain/ISCC_EU_205_GHG_Calculation_and_GHG_Audit_2.3_eng.pdf" xr:uid="{2F6D7928-286C-4993-B304-A74A6915BC8E}"/>
  </hyperlinks>
  <pageMargins left="0" right="0" top="0" bottom="0" header="0" footer="0"/>
  <pageSetup orientation="portrait" r:id="rId2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D4345-2301-4207-9F68-510B60C05545}">
  <sheetPr codeName="Sheet10">
    <tabColor rgb="FFFF66CC"/>
  </sheetPr>
  <dimension ref="A1:Q84"/>
  <sheetViews>
    <sheetView showGridLines="0" zoomScaleNormal="100" workbookViewId="0">
      <pane xSplit="3" topLeftCell="D1" activePane="topRight" state="frozen"/>
      <selection pane="topRight"/>
    </sheetView>
  </sheetViews>
  <sheetFormatPr defaultColWidth="8.81640625" defaultRowHeight="14.5"/>
  <cols>
    <col min="1" max="1" width="4.54296875" customWidth="1"/>
    <col min="2" max="2" width="32.453125" customWidth="1"/>
    <col min="3" max="3" width="30.54296875" customWidth="1"/>
    <col min="4" max="4" width="29.54296875" customWidth="1"/>
    <col min="5" max="5" width="15.81640625" customWidth="1"/>
    <col min="6" max="6" width="31.81640625" customWidth="1"/>
    <col min="7" max="7" width="28.54296875" customWidth="1"/>
    <col min="8" max="8" width="30.453125" customWidth="1"/>
    <col min="9" max="10" width="26.81640625" customWidth="1"/>
    <col min="11" max="11" width="35.1796875" customWidth="1"/>
    <col min="12" max="12" width="20.81640625" customWidth="1"/>
    <col min="13" max="13" width="29" customWidth="1"/>
    <col min="15" max="15" width="30.1796875" customWidth="1"/>
    <col min="16" max="16" width="28.81640625" customWidth="1"/>
    <col min="17" max="17" width="28.54296875" customWidth="1"/>
  </cols>
  <sheetData>
    <row r="1" spans="1:17" ht="31">
      <c r="A1" s="80" t="str">
        <f>IF(AND(Path&lt;&gt;Units!$B$120, Path&lt;&gt;Units!$B$121, Path&lt;&gt;Units!$B$122, Path&lt;&gt;Units!$B$123,Path&lt;&gt;Units!$B$124,Path&lt;&gt;Units!$B$125,Master_Switch="On"),"User should not use this worksheet, but switch to a non-blank GHG summary worksheet","")</f>
        <v>User should not use this worksheet, but switch to a non-blank GHG summary worksheet</v>
      </c>
    </row>
    <row r="3" spans="1:17" s="429" customFormat="1">
      <c r="A3" s="428"/>
      <c r="B3" s="363" t="s">
        <v>899</v>
      </c>
    </row>
    <row r="4" spans="1:17" ht="31">
      <c r="A4" s="80"/>
    </row>
    <row r="5" spans="1:17" ht="74.5">
      <c r="B5" s="106" t="s">
        <v>900</v>
      </c>
      <c r="C5" s="106" t="s">
        <v>901</v>
      </c>
      <c r="D5" s="106" t="s">
        <v>902</v>
      </c>
      <c r="E5" s="106" t="s">
        <v>903</v>
      </c>
      <c r="F5" s="106" t="s">
        <v>904</v>
      </c>
      <c r="G5" s="106" t="s">
        <v>905</v>
      </c>
      <c r="H5" s="106" t="s">
        <v>906</v>
      </c>
      <c r="I5" s="106" t="s">
        <v>907</v>
      </c>
      <c r="J5" s="106" t="s">
        <v>908</v>
      </c>
      <c r="K5" s="106" t="s">
        <v>909</v>
      </c>
      <c r="L5" s="106" t="s">
        <v>910</v>
      </c>
      <c r="M5" s="106" t="s">
        <v>911</v>
      </c>
      <c r="O5" s="175" t="s">
        <v>912</v>
      </c>
      <c r="P5" s="175" t="s">
        <v>913</v>
      </c>
      <c r="Q5" s="175" t="s">
        <v>914</v>
      </c>
    </row>
    <row r="6" spans="1:17">
      <c r="B6" s="686" t="s">
        <v>55</v>
      </c>
      <c r="C6" s="93" t="s">
        <v>128</v>
      </c>
      <c r="D6" s="313" t="str">
        <f>IF(Initial_questions!E$114="", IF(Initial_questions!E$112="", "User to enter in Initial Qus", Initial_questions!E$112), Initial_questions!E$114)</f>
        <v>User to enter in Initial Qus</v>
      </c>
      <c r="E6" s="677" t="str">
        <f>Electrolysis!O9</f>
        <v/>
      </c>
      <c r="F6" s="680">
        <v>1</v>
      </c>
      <c r="G6" s="60">
        <f>IF(Electrolysis!$E$107=0,"Pathway not chosen",Electrolysis!V20+Electrolysis!V40)</f>
        <v>0</v>
      </c>
      <c r="H6" s="170">
        <f>G6*$F$6</f>
        <v>0</v>
      </c>
      <c r="I6" s="683" t="str">
        <f>Electrolysis!R9</f>
        <v/>
      </c>
      <c r="J6" s="677" t="str">
        <f>I6</f>
        <v/>
      </c>
      <c r="K6" s="59" t="e">
        <f t="shared" ref="K6:K11" si="0">H6*$J$6</f>
        <v>#VALUE!</v>
      </c>
      <c r="L6" s="170" t="str">
        <f>IF(OR(Path=Units!$B$120, Path=Units!$B$125),'Default data'!$D$41,IF(AND(Path=Units!$B$125,Initial_questions!$E$34&lt;&gt;0),'Default data'!$D$41,"Pathway not chosen"))</f>
        <v>Pathway not chosen</v>
      </c>
      <c r="M6" s="314" t="e">
        <f>IF(Electrolysis!$E$107=0,"Pathway not chosen", IF(D6="Default",L6,K6))</f>
        <v>#VALUE!</v>
      </c>
      <c r="O6" s="164" t="str">
        <f>IF(OR(Path=Units!$B$120, Path=Units!$B$125),'Default data'!E$41,"Pathway not chosen")</f>
        <v>Pathway not chosen</v>
      </c>
      <c r="P6" s="164" t="str">
        <f>IF(OR(Path=Units!$B$120, Path=Units!$B$125),'Default data'!F$41,"Pathway not chosen")</f>
        <v>Pathway not chosen</v>
      </c>
      <c r="Q6" s="164" t="str">
        <f>IF(OR(Path=Units!$B$120, Path=Units!$B$125),'Default data'!G$41,"Pathway not chosen")</f>
        <v>Pathway not chosen</v>
      </c>
    </row>
    <row r="7" spans="1:17">
      <c r="B7" s="687"/>
      <c r="C7" s="93" t="s">
        <v>129</v>
      </c>
      <c r="D7" s="313" t="str">
        <f>IF(Initial_questions!E$115="", IF(Initial_questions!E$112="", "User to enter in Initial Qus", Initial_questions!E$112), Initial_questions!E$115)</f>
        <v>User to enter in Initial Qus</v>
      </c>
      <c r="E7" s="678"/>
      <c r="F7" s="681"/>
      <c r="G7" s="60">
        <f>IF(Electrolysis!$E$107=0,"Pathway not chosen",Electrolysis!V53)</f>
        <v>0</v>
      </c>
      <c r="H7" s="170">
        <f t="shared" ref="H7:H11" si="1">G7*$F$6</f>
        <v>0</v>
      </c>
      <c r="I7" s="684"/>
      <c r="J7" s="678"/>
      <c r="K7" s="59" t="e">
        <f t="shared" si="0"/>
        <v>#VALUE!</v>
      </c>
      <c r="L7" s="170" t="str">
        <f>IF(OR(Path=Units!$B$120, Path=Units!$B$125),'Default data'!$D$57,IF(AND(Path=Units!$B$125,Initial_questions!$E$34&lt;&gt;0),'Default data'!$D$57,"Pathway not chosen"))</f>
        <v>Pathway not chosen</v>
      </c>
      <c r="M7" s="314" t="e">
        <f>IF(Electrolysis!$E$107=0,"Pathway not chosen", IF(D7="Default",L7,K7))</f>
        <v>#VALUE!</v>
      </c>
      <c r="O7" s="164" t="str">
        <f>IF(OR(Path=Units!$B$120, Path=Units!$B$125),'Default data'!E$57,"Pathway not chosen")</f>
        <v>Pathway not chosen</v>
      </c>
      <c r="P7" s="164" t="str">
        <f>IF(OR(Path=Units!$B$120, Path=Units!$B$125),'Default data'!F$57,"Pathway not chosen")</f>
        <v>Pathway not chosen</v>
      </c>
      <c r="Q7" s="164" t="str">
        <f>IF(OR(Path=Units!$B$120, Path=Units!$B$125),'Default data'!G$57,"Pathway not chosen")</f>
        <v>Pathway not chosen</v>
      </c>
    </row>
    <row r="8" spans="1:17" ht="16.5">
      <c r="B8" s="687"/>
      <c r="C8" s="93" t="s">
        <v>915</v>
      </c>
      <c r="D8" s="93" t="s">
        <v>916</v>
      </c>
      <c r="E8" s="678"/>
      <c r="F8" s="681"/>
      <c r="G8" s="60">
        <f>IF(Electrolysis!$E$107=0,"Pathway not chosen",Electrolysis!V66)</f>
        <v>0</v>
      </c>
      <c r="H8" s="170">
        <f t="shared" si="1"/>
        <v>0</v>
      </c>
      <c r="I8" s="684"/>
      <c r="J8" s="678"/>
      <c r="K8" s="59" t="e">
        <f t="shared" si="0"/>
        <v>#VALUE!</v>
      </c>
      <c r="L8" s="56" t="s">
        <v>868</v>
      </c>
      <c r="M8" s="314" t="e">
        <f>IF(Electrolysis!$E$107=0,"Pathway not chosen", IF(D8="Default",L8,K8))</f>
        <v>#VALUE!</v>
      </c>
      <c r="O8" s="164" t="str">
        <f>IF(OR(Path=Units!$B$120, Path=Units!$B$125),'Default data'!E$73,"Pathway not chosen")</f>
        <v>Pathway not chosen</v>
      </c>
      <c r="P8" s="164" t="str">
        <f>IF(OR(Path=Units!$B$120, Path=Units!$B$125),'Default data'!F$73,"Pathway not chosen")</f>
        <v>Pathway not chosen</v>
      </c>
      <c r="Q8" s="164" t="str">
        <f>IF(OR(Path=Units!$B$120, Path=Units!$B$125),'Default data'!G$73,"Pathway not chosen")</f>
        <v>Pathway not chosen</v>
      </c>
    </row>
    <row r="9" spans="1:17" ht="16.5">
      <c r="B9" s="687"/>
      <c r="C9" s="61" t="s">
        <v>917</v>
      </c>
      <c r="D9" s="93" t="s">
        <v>916</v>
      </c>
      <c r="E9" s="678"/>
      <c r="F9" s="681"/>
      <c r="G9" s="60">
        <f>IF(Electrolysis!$E$107=0,"Pathway not chosen",Electrolysis!V74)</f>
        <v>0</v>
      </c>
      <c r="H9" s="170">
        <f t="shared" si="1"/>
        <v>0</v>
      </c>
      <c r="I9" s="684"/>
      <c r="J9" s="678"/>
      <c r="K9" s="59" t="e">
        <f t="shared" si="0"/>
        <v>#VALUE!</v>
      </c>
      <c r="L9" s="56" t="s">
        <v>868</v>
      </c>
      <c r="M9" s="314" t="e">
        <f>IF(Electrolysis!$E$107=0,"Pathway not chosen", IF(D9="Default",L9,K9))</f>
        <v>#VALUE!</v>
      </c>
      <c r="O9" s="164" t="str">
        <f>IF(OR(Path=Units!$B$120, Path=Units!$B$125),'Default data'!E$89,"Pathway not chosen")</f>
        <v>Pathway not chosen</v>
      </c>
      <c r="P9" s="164" t="str">
        <f>IF(OR(Path=Units!$B$120, Path=Units!$B$125),'Default data'!F$89,"Pathway not chosen")</f>
        <v>Pathway not chosen</v>
      </c>
      <c r="Q9" s="164" t="str">
        <f>IF(OR(Path=Units!$B$120, Path=Units!$B$125),'Default data'!G$89,"Pathway not chosen")</f>
        <v>Pathway not chosen</v>
      </c>
    </row>
    <row r="10" spans="1:17" ht="16.5">
      <c r="B10" s="687"/>
      <c r="C10" s="93" t="s">
        <v>918</v>
      </c>
      <c r="D10" s="93" t="s">
        <v>916</v>
      </c>
      <c r="E10" s="678"/>
      <c r="F10" s="681"/>
      <c r="G10" s="60">
        <f>IF(Electrolysis!$E$107=0,"Pathway not chosen",Electrolysis!V83)</f>
        <v>0</v>
      </c>
      <c r="H10" s="170">
        <f t="shared" si="1"/>
        <v>0</v>
      </c>
      <c r="I10" s="684"/>
      <c r="J10" s="678"/>
      <c r="K10" s="59" t="e">
        <f t="shared" si="0"/>
        <v>#VALUE!</v>
      </c>
      <c r="L10" s="56" t="s">
        <v>868</v>
      </c>
      <c r="M10" s="314" t="e">
        <f>IF(Electrolysis!$E$107=0,"Pathway not chosen", IF(D10="Default",L10,K10))</f>
        <v>#VALUE!</v>
      </c>
      <c r="O10" s="164" t="str">
        <f>IF(OR(Path=Units!$B$120, Path=Units!$B$125),'Default data'!E$105,"Pathway not chosen")</f>
        <v>Pathway not chosen</v>
      </c>
      <c r="P10" s="164" t="str">
        <f>IF(OR(Path=Units!$B$120, Path=Units!$B$125),'Default data'!F$105,"Pathway not chosen")</f>
        <v>Pathway not chosen</v>
      </c>
      <c r="Q10" s="164" t="str">
        <f>IF(OR(Path=Units!$B$120, Path=Units!$B$125),'Default data'!G$105,"Pathway not chosen")</f>
        <v>Pathway not chosen</v>
      </c>
    </row>
    <row r="11" spans="1:17" ht="16.5">
      <c r="B11" s="688"/>
      <c r="C11" s="93" t="s">
        <v>919</v>
      </c>
      <c r="D11" s="93" t="s">
        <v>916</v>
      </c>
      <c r="E11" s="679"/>
      <c r="F11" s="682"/>
      <c r="G11" s="60">
        <f>IF(Electrolysis!$E$107=0,"Pathway not chosen",Electrolysis!V91)</f>
        <v>0</v>
      </c>
      <c r="H11" s="170">
        <f t="shared" si="1"/>
        <v>0</v>
      </c>
      <c r="I11" s="685"/>
      <c r="J11" s="679"/>
      <c r="K11" s="59" t="e">
        <f t="shared" si="0"/>
        <v>#VALUE!</v>
      </c>
      <c r="L11" s="56" t="s">
        <v>868</v>
      </c>
      <c r="M11" s="314" t="e">
        <f>IF(Electrolysis!$E$107=0,"Pathway not chosen", IF(D11="Default",L11,K11))</f>
        <v>#VALUE!</v>
      </c>
      <c r="O11" s="164" t="str">
        <f>IF(OR(Path=Units!$B$120, Path=Units!$B$125),'Default data'!E$121,"Pathway not chosen")</f>
        <v>Pathway not chosen</v>
      </c>
      <c r="P11" s="164" t="str">
        <f>IF(OR(Path=Units!$B$120, Path=Units!$B$125),'Default data'!F$121,"Pathway not chosen")</f>
        <v>Pathway not chosen</v>
      </c>
      <c r="Q11" s="164" t="str">
        <f>IF(OR(Path=Units!$B$120, Path=Units!$B$125),'Default data'!G$121,"Pathway not chosen")</f>
        <v>Pathway not chosen</v>
      </c>
    </row>
    <row r="12" spans="1:17" ht="29">
      <c r="B12" s="93" t="s">
        <v>920</v>
      </c>
      <c r="C12" s="689" t="s">
        <v>921</v>
      </c>
      <c r="D12" s="546" t="s">
        <v>922</v>
      </c>
      <c r="L12" s="522" t="str">
        <f>'Typical data'!$D$331</f>
        <v>Yet to provide pressure or electricity source</v>
      </c>
      <c r="M12" s="521" t="str">
        <f>IF(Electrolysis!$E$107=0,"Pathway not chosen", L12)</f>
        <v>Yet to provide pressure or electricity source</v>
      </c>
      <c r="O12" s="164" t="s">
        <v>923</v>
      </c>
      <c r="P12" s="164" t="s">
        <v>923</v>
      </c>
      <c r="Q12" s="164" t="s">
        <v>923</v>
      </c>
    </row>
    <row r="13" spans="1:17" ht="29">
      <c r="B13" s="93" t="s">
        <v>924</v>
      </c>
      <c r="C13" s="690"/>
      <c r="D13" s="546" t="s">
        <v>925</v>
      </c>
      <c r="L13" s="524" t="str">
        <f>'Typical data'!$D$349</f>
        <v>Yet to provide electricity source</v>
      </c>
      <c r="M13" s="521" t="str">
        <f>IF(Electrolysis!$E$107=0,"Pathway not chosen", L13)</f>
        <v>Yet to provide electricity source</v>
      </c>
      <c r="O13" s="164" t="s">
        <v>923</v>
      </c>
      <c r="P13" s="164" t="s">
        <v>923</v>
      </c>
      <c r="Q13" s="164" t="s">
        <v>923</v>
      </c>
    </row>
    <row r="15" spans="1:17" ht="18.5">
      <c r="B15" s="97" t="s">
        <v>926</v>
      </c>
      <c r="C15" s="62"/>
      <c r="D15" s="62"/>
      <c r="E15" s="99">
        <f>PRODUCT(E6:E13)</f>
        <v>0</v>
      </c>
      <c r="F15" s="28"/>
      <c r="G15" s="28"/>
      <c r="H15" s="28"/>
      <c r="M15" s="102" t="str">
        <f>IF(COUNTIF(M6:M13,"*")&gt;0,"Pathway not chosen",SUM(M6:M13))</f>
        <v>Pathway not chosen</v>
      </c>
      <c r="N15" s="53"/>
      <c r="O15" s="164" t="str">
        <f>IF(OR(Path=Units!$B$120, Path=Units!$B$125),'Default data'!E$153,"Pathway not chosen")</f>
        <v>Pathway not chosen</v>
      </c>
      <c r="P15" s="164" t="str">
        <f>IF(OR(Path=Units!$B$120, Path=Units!$B$125),'Default data'!F$153,"Pathway not chosen")</f>
        <v>Pathway not chosen</v>
      </c>
      <c r="Q15" s="164" t="str">
        <f>IF(OR(Path=Units!$B$120, Path=Units!$B$125),'Default data'!G$153,"Pathway not chosen")</f>
        <v>Pathway not chosen</v>
      </c>
    </row>
    <row r="16" spans="1:17" ht="18.5">
      <c r="B16" s="97" t="s">
        <v>927</v>
      </c>
      <c r="C16" s="62"/>
      <c r="D16" s="62"/>
      <c r="M16" s="103">
        <v>20</v>
      </c>
      <c r="O16" s="691" t="s">
        <v>928</v>
      </c>
      <c r="P16" s="692"/>
      <c r="Q16" s="693"/>
    </row>
    <row r="17" spans="1:17">
      <c r="O17" s="694"/>
      <c r="P17" s="695"/>
      <c r="Q17" s="696"/>
    </row>
    <row r="18" spans="1:17">
      <c r="O18" s="697"/>
      <c r="P18" s="698"/>
      <c r="Q18" s="699"/>
    </row>
    <row r="20" spans="1:17" s="431" customFormat="1">
      <c r="A20" s="430"/>
      <c r="B20" s="364" t="s">
        <v>929</v>
      </c>
    </row>
    <row r="21" spans="1:17" ht="31">
      <c r="A21" s="80"/>
    </row>
    <row r="22" spans="1:17" ht="61.5">
      <c r="B22" s="106" t="s">
        <v>900</v>
      </c>
      <c r="C22" s="106" t="s">
        <v>901</v>
      </c>
      <c r="D22" s="106" t="s">
        <v>902</v>
      </c>
      <c r="E22" s="106" t="s">
        <v>903</v>
      </c>
      <c r="F22" s="106" t="s">
        <v>904</v>
      </c>
      <c r="G22" s="106" t="s">
        <v>905</v>
      </c>
      <c r="H22" s="106" t="s">
        <v>906</v>
      </c>
      <c r="I22" s="106" t="s">
        <v>907</v>
      </c>
      <c r="J22" s="106" t="s">
        <v>908</v>
      </c>
      <c r="K22" s="106" t="s">
        <v>909</v>
      </c>
      <c r="L22" s="106" t="s">
        <v>910</v>
      </c>
      <c r="M22" s="106" t="s">
        <v>911</v>
      </c>
      <c r="O22" s="175" t="s">
        <v>930</v>
      </c>
      <c r="P22" s="175" t="s">
        <v>931</v>
      </c>
      <c r="Q22" s="175" t="s">
        <v>932</v>
      </c>
    </row>
    <row r="23" spans="1:17">
      <c r="B23" s="686" t="s">
        <v>55</v>
      </c>
      <c r="C23" s="93" t="s">
        <v>128</v>
      </c>
      <c r="D23" s="313" t="str">
        <f>IF(Initial_questions!E$114="", IF(Initial_questions!E$112="", "User to enter in Initial Qus", Initial_questions!E$112), Initial_questions!E$114)</f>
        <v>User to enter in Initial Qus</v>
      </c>
      <c r="E23" s="677" t="str">
        <f>Electrolysis!O9</f>
        <v/>
      </c>
      <c r="F23" s="680">
        <v>1</v>
      </c>
      <c r="G23" s="60">
        <f>IF(Electrolysis!$E$108=0,"Pathway not chosen",Electrolysis!V24+Electrolysis!V40)</f>
        <v>0</v>
      </c>
      <c r="H23" s="170">
        <f>G23*$F$23</f>
        <v>0</v>
      </c>
      <c r="I23" s="683" t="str">
        <f>Electrolysis!R9</f>
        <v/>
      </c>
      <c r="J23" s="677" t="str">
        <f>I23</f>
        <v/>
      </c>
      <c r="K23" s="59" t="e">
        <f t="shared" ref="K23:K28" si="2">H23*$J$23</f>
        <v>#VALUE!</v>
      </c>
      <c r="L23" s="170" t="str">
        <f>IF(OR(Path=Units!$B$121, Path=Units!$B$125),'Default data'!$D$42,IF(AND(Path=Units!$B$125,Initial_questions!$E$35&lt;&gt;0),'Default data'!$D$42,"Pathway not chosen"))</f>
        <v>Pathway not chosen</v>
      </c>
      <c r="M23" s="314" t="e">
        <f>IF(Electrolysis!$E$108=0,"Pathway not chosen", IF(D23="Default",L23,K23))</f>
        <v>#VALUE!</v>
      </c>
      <c r="O23" s="164" t="str">
        <f>IF(OR(Path=Units!$B$121, Path=Units!$B$125),'Default data'!E$42,"Pathway not chosen")</f>
        <v>Pathway not chosen</v>
      </c>
      <c r="P23" s="164" t="str">
        <f>IF(OR(Path=Units!$B$121, Path=Units!$B$125),'Default data'!F$42,"Pathway not chosen")</f>
        <v>Pathway not chosen</v>
      </c>
      <c r="Q23" s="164" t="str">
        <f>IF(OR(Path=Units!$B$121, Path=Units!$B$125),'Default data'!G$42,"Pathway not chosen")</f>
        <v>Pathway not chosen</v>
      </c>
    </row>
    <row r="24" spans="1:17">
      <c r="B24" s="687"/>
      <c r="C24" s="93" t="s">
        <v>129</v>
      </c>
      <c r="D24" s="313" t="str">
        <f>IF(Initial_questions!E$115="", IF(Initial_questions!E$112="", "User to enter in Initial Qus", Initial_questions!E$112), Initial_questions!E$115)</f>
        <v>User to enter in Initial Qus</v>
      </c>
      <c r="E24" s="678"/>
      <c r="F24" s="681"/>
      <c r="G24" s="60">
        <f>IF(Electrolysis!$E$108=0,"Pathway not chosen",Electrolysis!V53)</f>
        <v>0</v>
      </c>
      <c r="H24" s="170">
        <f t="shared" ref="H24:H28" si="3">G24*$F$23</f>
        <v>0</v>
      </c>
      <c r="I24" s="684"/>
      <c r="J24" s="678"/>
      <c r="K24" s="59" t="e">
        <f t="shared" si="2"/>
        <v>#VALUE!</v>
      </c>
      <c r="L24" s="170" t="str">
        <f>IF(OR(Path=Units!$B$121, Path=Units!$B$125),'Default data'!$D$58,IF(AND(Path=Units!$B$125,Initial_questions!$E$35&lt;&gt;0),'Default data'!$D$58,"Pathway not chosen"))</f>
        <v>Pathway not chosen</v>
      </c>
      <c r="M24" s="314" t="e">
        <f>IF(Electrolysis!$E$108=0,"Pathway not chosen", IF(D24="Default",L24,K24))</f>
        <v>#VALUE!</v>
      </c>
      <c r="O24" s="164" t="str">
        <f>IF(OR(Path=Units!$B$121, Path=Units!$B$125),'Default data'!E$58,"Pathway not chosen")</f>
        <v>Pathway not chosen</v>
      </c>
      <c r="P24" s="164" t="str">
        <f>IF(OR(Path=Units!$B$121, Path=Units!$B$125),'Default data'!F$58,"Pathway not chosen")</f>
        <v>Pathway not chosen</v>
      </c>
      <c r="Q24" s="164" t="str">
        <f>IF(OR(Path=Units!$B$121, Path=Units!$B$125),'Default data'!G$58,"Pathway not chosen")</f>
        <v>Pathway not chosen</v>
      </c>
    </row>
    <row r="25" spans="1:17" ht="16.5">
      <c r="B25" s="687"/>
      <c r="C25" s="93" t="s">
        <v>915</v>
      </c>
      <c r="D25" s="93" t="s">
        <v>916</v>
      </c>
      <c r="E25" s="678"/>
      <c r="F25" s="681"/>
      <c r="G25" s="60">
        <f>IF(Electrolysis!$E$108=0,"Pathway not chosen",Electrolysis!V66)</f>
        <v>0</v>
      </c>
      <c r="H25" s="170">
        <f t="shared" si="3"/>
        <v>0</v>
      </c>
      <c r="I25" s="684"/>
      <c r="J25" s="678"/>
      <c r="K25" s="59" t="e">
        <f t="shared" si="2"/>
        <v>#VALUE!</v>
      </c>
      <c r="L25" s="56" t="s">
        <v>868</v>
      </c>
      <c r="M25" s="314" t="e">
        <f>IF(Electrolysis!$E$108=0,"Pathway not chosen", IF(D25="Default",L25,K25))</f>
        <v>#VALUE!</v>
      </c>
      <c r="O25" s="164" t="str">
        <f>IF(OR(Path=Units!$B$121, Path=Units!$B$125),'Default data'!E$74,"Pathway not chosen")</f>
        <v>Pathway not chosen</v>
      </c>
      <c r="P25" s="164" t="str">
        <f>IF(OR(Path=Units!$B$121, Path=Units!$B$125),'Default data'!F$74,"Pathway not chosen")</f>
        <v>Pathway not chosen</v>
      </c>
      <c r="Q25" s="164" t="str">
        <f>IF(OR(Path=Units!$B$121, Path=Units!$B$125),'Default data'!G$74,"Pathway not chosen")</f>
        <v>Pathway not chosen</v>
      </c>
    </row>
    <row r="26" spans="1:17" ht="16.5">
      <c r="B26" s="687"/>
      <c r="C26" s="61" t="s">
        <v>917</v>
      </c>
      <c r="D26" s="93" t="s">
        <v>916</v>
      </c>
      <c r="E26" s="678"/>
      <c r="F26" s="681"/>
      <c r="G26" s="60">
        <f>IF(Electrolysis!$E$108=0,"Pathway not chosen",Electrolysis!V74)</f>
        <v>0</v>
      </c>
      <c r="H26" s="170">
        <f t="shared" si="3"/>
        <v>0</v>
      </c>
      <c r="I26" s="684"/>
      <c r="J26" s="678"/>
      <c r="K26" s="59" t="e">
        <f t="shared" si="2"/>
        <v>#VALUE!</v>
      </c>
      <c r="L26" s="56" t="s">
        <v>868</v>
      </c>
      <c r="M26" s="314" t="e">
        <f>IF(Electrolysis!$E$108=0,"Pathway not chosen", IF(D26="Default",L26,K26))</f>
        <v>#VALUE!</v>
      </c>
      <c r="O26" s="164" t="str">
        <f>IF(OR(Path=Units!$B$121, Path=Units!$B$125),'Default data'!E$90,"Pathway not chosen")</f>
        <v>Pathway not chosen</v>
      </c>
      <c r="P26" s="164" t="str">
        <f>IF(OR(Path=Units!$B$121, Path=Units!$B$125),'Default data'!F$90,"Pathway not chosen")</f>
        <v>Pathway not chosen</v>
      </c>
      <c r="Q26" s="164" t="str">
        <f>IF(OR(Path=Units!$B$121, Path=Units!$B$125),'Default data'!G$90,"Pathway not chosen")</f>
        <v>Pathway not chosen</v>
      </c>
    </row>
    <row r="27" spans="1:17" ht="16.5">
      <c r="B27" s="687"/>
      <c r="C27" s="93" t="s">
        <v>918</v>
      </c>
      <c r="D27" s="93" t="s">
        <v>916</v>
      </c>
      <c r="E27" s="678"/>
      <c r="F27" s="681"/>
      <c r="G27" s="60">
        <f>IF(Electrolysis!$E$108=0,"Pathway not chosen",Electrolysis!V83)</f>
        <v>0</v>
      </c>
      <c r="H27" s="170">
        <f t="shared" si="3"/>
        <v>0</v>
      </c>
      <c r="I27" s="684"/>
      <c r="J27" s="678"/>
      <c r="K27" s="59" t="e">
        <f t="shared" si="2"/>
        <v>#VALUE!</v>
      </c>
      <c r="L27" s="56" t="s">
        <v>868</v>
      </c>
      <c r="M27" s="314" t="e">
        <f>IF(Electrolysis!$E$108=0,"Pathway not chosen", IF(D27="Default",L27,K27))</f>
        <v>#VALUE!</v>
      </c>
      <c r="O27" s="164" t="str">
        <f>IF(OR(Path=Units!$B$121, Path=Units!$B$125),'Default data'!E$106,"Pathway not chosen")</f>
        <v>Pathway not chosen</v>
      </c>
      <c r="P27" s="164" t="str">
        <f>IF(OR(Path=Units!$B$121, Path=Units!$B$125),'Default data'!F$106,"Pathway not chosen")</f>
        <v>Pathway not chosen</v>
      </c>
      <c r="Q27" s="164" t="str">
        <f>IF(OR(Path=Units!$B$121, Path=Units!$B$125),'Default data'!G$106,"Pathway not chosen")</f>
        <v>Pathway not chosen</v>
      </c>
    </row>
    <row r="28" spans="1:17" ht="16.5">
      <c r="B28" s="688"/>
      <c r="C28" s="93" t="s">
        <v>919</v>
      </c>
      <c r="D28" s="93" t="s">
        <v>916</v>
      </c>
      <c r="E28" s="679"/>
      <c r="F28" s="682"/>
      <c r="G28" s="60">
        <f>IF(Electrolysis!$E$108=0,"Pathway not chosen",Electrolysis!V91)</f>
        <v>0</v>
      </c>
      <c r="H28" s="170">
        <f t="shared" si="3"/>
        <v>0</v>
      </c>
      <c r="I28" s="685"/>
      <c r="J28" s="679"/>
      <c r="K28" s="59" t="e">
        <f t="shared" si="2"/>
        <v>#VALUE!</v>
      </c>
      <c r="L28" s="56" t="s">
        <v>868</v>
      </c>
      <c r="M28" s="314" t="e">
        <f>IF(Electrolysis!$E$108=0,"Pathway not chosen", IF(D28="Default",L28,K28))</f>
        <v>#VALUE!</v>
      </c>
      <c r="O28" s="164" t="str">
        <f>IF(OR(Path=Units!$B$121, Path=Units!$B$125),'Default data'!E$122,"Pathway not chosen")</f>
        <v>Pathway not chosen</v>
      </c>
      <c r="P28" s="164" t="str">
        <f>IF(OR(Path=Units!$B$121, Path=Units!$B$125),'Default data'!F$122,"Pathway not chosen")</f>
        <v>Pathway not chosen</v>
      </c>
      <c r="Q28" s="164" t="str">
        <f>IF(OR(Path=Units!$B$121, Path=Units!$B$125),'Default data'!G$122,"Pathway not chosen")</f>
        <v>Pathway not chosen</v>
      </c>
    </row>
    <row r="29" spans="1:17" ht="29">
      <c r="B29" s="93" t="s">
        <v>920</v>
      </c>
      <c r="C29" s="689" t="s">
        <v>921</v>
      </c>
      <c r="D29" s="546" t="s">
        <v>922</v>
      </c>
      <c r="L29" s="522" t="str">
        <f>'Typical data'!$D$331</f>
        <v>Yet to provide pressure or electricity source</v>
      </c>
      <c r="M29" s="521" t="str">
        <f>IF(Electrolysis!$E$108=0,"Pathway not chosen", L29)</f>
        <v>Yet to provide pressure or electricity source</v>
      </c>
      <c r="O29" s="164" t="s">
        <v>923</v>
      </c>
      <c r="P29" s="164" t="s">
        <v>923</v>
      </c>
      <c r="Q29" s="164" t="s">
        <v>923</v>
      </c>
    </row>
    <row r="30" spans="1:17" ht="29">
      <c r="B30" s="93" t="s">
        <v>924</v>
      </c>
      <c r="C30" s="690"/>
      <c r="D30" s="546" t="s">
        <v>925</v>
      </c>
      <c r="L30" s="524" t="str">
        <f>'Typical data'!$D$349</f>
        <v>Yet to provide electricity source</v>
      </c>
      <c r="M30" s="521" t="str">
        <f>IF(Electrolysis!$E$108=0,"Pathway not chosen", L30)</f>
        <v>Yet to provide electricity source</v>
      </c>
      <c r="O30" s="164" t="s">
        <v>923</v>
      </c>
      <c r="P30" s="164" t="s">
        <v>923</v>
      </c>
      <c r="Q30" s="164" t="s">
        <v>923</v>
      </c>
    </row>
    <row r="32" spans="1:17" ht="18.5">
      <c r="B32" s="97" t="s">
        <v>926</v>
      </c>
      <c r="C32" s="62"/>
      <c r="D32" s="62"/>
      <c r="E32" s="99">
        <f>PRODUCT(E23:E30)</f>
        <v>0</v>
      </c>
      <c r="F32" s="28"/>
      <c r="G32" s="28"/>
      <c r="H32" s="28"/>
      <c r="M32" s="102" t="str">
        <f>IF(COUNTIF(M23:M30,"*")&gt;0,"Pathway not chosen",SUM(M23:M30))</f>
        <v>Pathway not chosen</v>
      </c>
      <c r="N32" s="53"/>
      <c r="O32" s="164" t="str">
        <f>IF(OR(Path=Units!$B$121, Path=Units!$B$125),'Default data'!E$154,"Pathway not chosen")</f>
        <v>Pathway not chosen</v>
      </c>
      <c r="P32" s="164" t="str">
        <f>IF(OR(Path=Units!$B$121, Path=Units!$B$125),'Default data'!F$154,"Pathway not chosen")</f>
        <v>Pathway not chosen</v>
      </c>
      <c r="Q32" s="164" t="str">
        <f>IF(OR(Path=Units!$B$121, Path=Units!$B$125),'Default data'!G$154,"Pathway not chosen")</f>
        <v>Pathway not chosen</v>
      </c>
    </row>
    <row r="33" spans="1:17" ht="18.5">
      <c r="B33" s="97" t="s">
        <v>927</v>
      </c>
      <c r="C33" s="62"/>
      <c r="D33" s="62"/>
      <c r="M33" s="103">
        <v>20</v>
      </c>
      <c r="O33" s="691" t="s">
        <v>933</v>
      </c>
      <c r="P33" s="692"/>
      <c r="Q33" s="693"/>
    </row>
    <row r="34" spans="1:17">
      <c r="O34" s="694"/>
      <c r="P34" s="695"/>
      <c r="Q34" s="696"/>
    </row>
    <row r="35" spans="1:17">
      <c r="O35" s="697"/>
      <c r="P35" s="698"/>
      <c r="Q35" s="699"/>
    </row>
    <row r="37" spans="1:17" s="276" customFormat="1">
      <c r="A37" s="433"/>
      <c r="B37" s="162" t="s">
        <v>934</v>
      </c>
    </row>
    <row r="38" spans="1:17" ht="31">
      <c r="A38" s="80"/>
      <c r="P38" s="549"/>
    </row>
    <row r="39" spans="1:17" ht="84.65" customHeight="1">
      <c r="B39" s="106" t="s">
        <v>900</v>
      </c>
      <c r="C39" s="106" t="s">
        <v>901</v>
      </c>
      <c r="D39" s="106" t="s">
        <v>902</v>
      </c>
      <c r="E39" s="106" t="s">
        <v>903</v>
      </c>
      <c r="F39" s="106" t="s">
        <v>904</v>
      </c>
      <c r="G39" s="106" t="s">
        <v>905</v>
      </c>
      <c r="H39" s="106" t="s">
        <v>906</v>
      </c>
      <c r="I39" s="106" t="s">
        <v>907</v>
      </c>
      <c r="J39" s="106" t="s">
        <v>908</v>
      </c>
      <c r="K39" s="106" t="s">
        <v>909</v>
      </c>
      <c r="L39" s="106" t="s">
        <v>910</v>
      </c>
      <c r="M39" s="106" t="s">
        <v>911</v>
      </c>
      <c r="O39" s="175" t="s">
        <v>935</v>
      </c>
      <c r="P39" s="175" t="s">
        <v>936</v>
      </c>
      <c r="Q39" s="175" t="s">
        <v>937</v>
      </c>
    </row>
    <row r="40" spans="1:17">
      <c r="B40" s="674" t="s">
        <v>55</v>
      </c>
      <c r="C40" s="61" t="s">
        <v>128</v>
      </c>
      <c r="D40" s="313" t="str">
        <f>IF(Initial_questions!E$114="", IF(Initial_questions!E$112="", "User to enter in Initial Qus", Initial_questions!E$112), Initial_questions!E$114)</f>
        <v>User to enter in Initial Qus</v>
      </c>
      <c r="E40" s="677" t="str">
        <f>Electrolysis!O9</f>
        <v/>
      </c>
      <c r="F40" s="680">
        <v>1</v>
      </c>
      <c r="G40" s="60">
        <f>IF(Electrolysis!$E$109=0,"Pathway not chosen",Electrolysis!V28+Electrolysis!V40)</f>
        <v>0</v>
      </c>
      <c r="H40" s="170">
        <f t="shared" ref="H40:H45" si="4">G40*$F$40</f>
        <v>0</v>
      </c>
      <c r="I40" s="683" t="str">
        <f>Electrolysis!R9</f>
        <v/>
      </c>
      <c r="J40" s="677" t="str">
        <f>I40</f>
        <v/>
      </c>
      <c r="K40" s="59" t="e">
        <f t="shared" ref="K40:K45" si="5">H40*$J$40</f>
        <v>#VALUE!</v>
      </c>
      <c r="L40" s="170" t="str">
        <f>IF(OR(Path=Units!$B$122, Path=Units!$B$125),'Default data'!$D$40,IF(AND(Path=Units!$B$125,Initial_questions!$E$36&lt;&gt;0),'Default data'!$D$40,"Pathway not chosen"))</f>
        <v>Pathway not chosen</v>
      </c>
      <c r="M40" s="314" t="e">
        <f>IF(Electrolysis!$E$109=0,"Pathway not chosen",IF(D40="Default",L40,K40))</f>
        <v>#VALUE!</v>
      </c>
      <c r="O40" s="164" t="str">
        <f>IF(OR(Path=Units!$B$122, Path=Units!$B$125),'Default data'!E$40,"Pathway not chosen")</f>
        <v>Pathway not chosen</v>
      </c>
      <c r="P40" s="164" t="str">
        <f>IF(OR(Path=Units!$B$122, Path=Units!$B$125),'Default data'!F$40,"Pathway not chosen")</f>
        <v>Pathway not chosen</v>
      </c>
      <c r="Q40" s="164" t="str">
        <f>IF(OR(Path=Units!$B$122, Path=Units!$B$125),'Default data'!G$40,"Pathway not chosen")</f>
        <v>Pathway not chosen</v>
      </c>
    </row>
    <row r="41" spans="1:17">
      <c r="B41" s="675"/>
      <c r="C41" s="61" t="s">
        <v>129</v>
      </c>
      <c r="D41" s="313" t="str">
        <f>IF(Initial_questions!E$115="", IF(Initial_questions!E$112="", "User to enter in Initial Qus", Initial_questions!E$112), Initial_questions!E$115)</f>
        <v>User to enter in Initial Qus</v>
      </c>
      <c r="E41" s="678"/>
      <c r="F41" s="681"/>
      <c r="G41" s="60">
        <f>IF(Electrolysis!$E$109=0,"Pathway not chosen",Electrolysis!V53)</f>
        <v>0</v>
      </c>
      <c r="H41" s="170">
        <f t="shared" si="4"/>
        <v>0</v>
      </c>
      <c r="I41" s="684"/>
      <c r="J41" s="678"/>
      <c r="K41" s="59" t="e">
        <f t="shared" si="5"/>
        <v>#VALUE!</v>
      </c>
      <c r="L41" s="170" t="str">
        <f>IF(OR(Path=Units!$B$122, Path=Units!$B$125),'Default data'!$D$56,IF(AND(Path=Units!$B$125,Initial_questions!$E$36&lt;&gt;0),'Default data'!$D$56,"Pathway not chosen"))</f>
        <v>Pathway not chosen</v>
      </c>
      <c r="M41" s="314" t="e">
        <f>IF(Electrolysis!$E$109=0,"Pathway not chosen",IF(D41="Default",L41,K41))</f>
        <v>#VALUE!</v>
      </c>
      <c r="O41" s="164" t="str">
        <f>IF(OR(Path=Units!$B$122, Path=Units!$B$125),'Default data'!E$56,"Pathway not chosen")</f>
        <v>Pathway not chosen</v>
      </c>
      <c r="P41" s="164" t="str">
        <f>IF(OR(Path=Units!$B$122, Path=Units!$B$125),'Default data'!F$56,"Pathway not chosen")</f>
        <v>Pathway not chosen</v>
      </c>
      <c r="Q41" s="164" t="str">
        <f>IF(OR(Path=Units!$B$122, Path=Units!$B$125),'Default data'!G$56,"Pathway not chosen")</f>
        <v>Pathway not chosen</v>
      </c>
    </row>
    <row r="42" spans="1:17" ht="16.5">
      <c r="B42" s="675"/>
      <c r="C42" s="93" t="s">
        <v>915</v>
      </c>
      <c r="D42" s="61" t="s">
        <v>916</v>
      </c>
      <c r="E42" s="678"/>
      <c r="F42" s="681"/>
      <c r="G42" s="60">
        <f>IF(Electrolysis!$E$109=0,"Pathway not chosen",Electrolysis!V66)</f>
        <v>0</v>
      </c>
      <c r="H42" s="170">
        <f t="shared" si="4"/>
        <v>0</v>
      </c>
      <c r="I42" s="684"/>
      <c r="J42" s="678"/>
      <c r="K42" s="59" t="e">
        <f t="shared" si="5"/>
        <v>#VALUE!</v>
      </c>
      <c r="L42" s="56" t="s">
        <v>868</v>
      </c>
      <c r="M42" s="314" t="e">
        <f>IF(Electrolysis!$E$109=0,"Pathway not chosen",IF(D42="Default",L42,K42))</f>
        <v>#VALUE!</v>
      </c>
      <c r="O42" s="164" t="str">
        <f>IF(OR(Path=Units!$B$122, Path=Units!$B$125),'Default data'!E$72,"Pathway not chosen")</f>
        <v>Pathway not chosen</v>
      </c>
      <c r="P42" s="164" t="str">
        <f>IF(OR(Path=Units!$B$122, Path=Units!$B$125),'Default data'!F$72,"Pathway not chosen")</f>
        <v>Pathway not chosen</v>
      </c>
      <c r="Q42" s="164" t="str">
        <f>IF(OR(Path=Units!$B$122, Path=Units!$B$125),'Default data'!G$72,"Pathway not chosen")</f>
        <v>Pathway not chosen</v>
      </c>
    </row>
    <row r="43" spans="1:17" ht="16.5">
      <c r="B43" s="675"/>
      <c r="C43" s="61" t="s">
        <v>917</v>
      </c>
      <c r="D43" s="61" t="s">
        <v>916</v>
      </c>
      <c r="E43" s="678"/>
      <c r="F43" s="681"/>
      <c r="G43" s="60">
        <f>IF(Electrolysis!$E$109=0,"Pathway not chosen",Electrolysis!V74)</f>
        <v>0</v>
      </c>
      <c r="H43" s="170">
        <f t="shared" si="4"/>
        <v>0</v>
      </c>
      <c r="I43" s="684"/>
      <c r="J43" s="678"/>
      <c r="K43" s="59" t="e">
        <f t="shared" si="5"/>
        <v>#VALUE!</v>
      </c>
      <c r="L43" s="56" t="s">
        <v>868</v>
      </c>
      <c r="M43" s="314" t="e">
        <f>IF(Electrolysis!$E$109=0,"Pathway not chosen",IF(D43="Default",L43,K43))</f>
        <v>#VALUE!</v>
      </c>
      <c r="O43" s="164" t="str">
        <f>IF(OR(Path=Units!$B$122, Path=Units!$B$125),'Default data'!E$88,"Pathway not chosen")</f>
        <v>Pathway not chosen</v>
      </c>
      <c r="P43" s="164" t="str">
        <f>IF(OR(Path=Units!$B$122, Path=Units!$B$125),'Default data'!F$88,"Pathway not chosen")</f>
        <v>Pathway not chosen</v>
      </c>
      <c r="Q43" s="164" t="str">
        <f>IF(OR(Path=Units!$B$122, Path=Units!$B$125),'Default data'!G$88,"Pathway not chosen")</f>
        <v>Pathway not chosen</v>
      </c>
    </row>
    <row r="44" spans="1:17" ht="16.5">
      <c r="B44" s="675"/>
      <c r="C44" s="61" t="s">
        <v>918</v>
      </c>
      <c r="D44" s="61" t="s">
        <v>916</v>
      </c>
      <c r="E44" s="678"/>
      <c r="F44" s="681"/>
      <c r="G44" s="60">
        <f>IF(Electrolysis!$E$109=0,"Pathway not chosen",Electrolysis!V83)</f>
        <v>0</v>
      </c>
      <c r="H44" s="170">
        <f t="shared" si="4"/>
        <v>0</v>
      </c>
      <c r="I44" s="684"/>
      <c r="J44" s="678"/>
      <c r="K44" s="59" t="e">
        <f t="shared" si="5"/>
        <v>#VALUE!</v>
      </c>
      <c r="L44" s="56" t="s">
        <v>868</v>
      </c>
      <c r="M44" s="314" t="e">
        <f>IF(Electrolysis!$E$109=0,"Pathway not chosen",IF(D44="Default",L44,K44))</f>
        <v>#VALUE!</v>
      </c>
      <c r="O44" s="164" t="str">
        <f>IF(OR(Path=Units!$B$122, Path=Units!$B$125),'Default data'!E$104,"Pathway not chosen")</f>
        <v>Pathway not chosen</v>
      </c>
      <c r="P44" s="164" t="str">
        <f>IF(OR(Path=Units!$B$122, Path=Units!$B$125),'Default data'!F$104,"Pathway not chosen")</f>
        <v>Pathway not chosen</v>
      </c>
      <c r="Q44" s="164" t="str">
        <f>IF(OR(Path=Units!$B$122, Path=Units!$B$125),'Default data'!G$104,"Pathway not chosen")</f>
        <v>Pathway not chosen</v>
      </c>
    </row>
    <row r="45" spans="1:17" ht="16.5">
      <c r="B45" s="676"/>
      <c r="C45" s="61" t="s">
        <v>919</v>
      </c>
      <c r="D45" s="61" t="s">
        <v>916</v>
      </c>
      <c r="E45" s="679"/>
      <c r="F45" s="682"/>
      <c r="G45" s="60">
        <f>IF(Electrolysis!$E$109=0,"Pathway not chosen",Electrolysis!V91)</f>
        <v>0</v>
      </c>
      <c r="H45" s="170">
        <f t="shared" si="4"/>
        <v>0</v>
      </c>
      <c r="I45" s="685"/>
      <c r="J45" s="679"/>
      <c r="K45" s="59" t="e">
        <f t="shared" si="5"/>
        <v>#VALUE!</v>
      </c>
      <c r="L45" s="56" t="s">
        <v>868</v>
      </c>
      <c r="M45" s="314" t="e">
        <f>IF(Electrolysis!$E$109=0,"Pathway not chosen",IF(D45="Default",L45,K45))</f>
        <v>#VALUE!</v>
      </c>
      <c r="O45" s="164" t="str">
        <f>IF(OR(Path=Units!$B$122, Path=Units!$B$125),'Default data'!E$120,"Pathway not chosen")</f>
        <v>Pathway not chosen</v>
      </c>
      <c r="P45" s="164" t="str">
        <f>IF(OR(Path=Units!$B$122, Path=Units!$B$125),'Default data'!F$120,"Pathway not chosen")</f>
        <v>Pathway not chosen</v>
      </c>
      <c r="Q45" s="164" t="str">
        <f>IF(OR(Path=Units!$B$122, Path=Units!$B$125),'Default data'!G$120,"Pathway not chosen")</f>
        <v>Pathway not chosen</v>
      </c>
    </row>
    <row r="46" spans="1:17" ht="29">
      <c r="B46" s="61" t="s">
        <v>920</v>
      </c>
      <c r="C46" s="689" t="s">
        <v>921</v>
      </c>
      <c r="D46" s="545" t="s">
        <v>922</v>
      </c>
      <c r="L46" s="522" t="str">
        <f>'Typical data'!$D$331</f>
        <v>Yet to provide pressure or electricity source</v>
      </c>
      <c r="M46" s="521" t="str">
        <f>IF(Electrolysis!$E$109=0,"Pathway not chosen",L46)</f>
        <v>Yet to provide pressure or electricity source</v>
      </c>
      <c r="O46" s="164" t="s">
        <v>923</v>
      </c>
      <c r="P46" s="164" t="s">
        <v>923</v>
      </c>
      <c r="Q46" s="164" t="s">
        <v>923</v>
      </c>
    </row>
    <row r="47" spans="1:17" ht="29">
      <c r="B47" s="61" t="s">
        <v>924</v>
      </c>
      <c r="C47" s="690"/>
      <c r="D47" s="545" t="s">
        <v>925</v>
      </c>
      <c r="L47" s="524" t="str">
        <f>'Typical data'!$D$349</f>
        <v>Yet to provide electricity source</v>
      </c>
      <c r="M47" s="521" t="str">
        <f>IF(Electrolysis!$E$109=0,"Pathway not chosen",L47)</f>
        <v>Yet to provide electricity source</v>
      </c>
      <c r="O47" s="164" t="s">
        <v>923</v>
      </c>
      <c r="P47" s="164" t="s">
        <v>923</v>
      </c>
      <c r="Q47" s="164" t="s">
        <v>923</v>
      </c>
    </row>
    <row r="49" spans="1:17" ht="18.5">
      <c r="B49" s="97" t="s">
        <v>926</v>
      </c>
      <c r="C49" s="62"/>
      <c r="D49" s="62"/>
      <c r="E49" s="99">
        <f>PRODUCT(E40:E47)</f>
        <v>0</v>
      </c>
      <c r="F49" s="28"/>
      <c r="G49" s="28"/>
      <c r="H49" s="28"/>
      <c r="M49" s="102" t="str">
        <f>IF(COUNTIF(M40:M47,"*")&gt;0,"Pathway not chosen",SUM(M40:M47))</f>
        <v>Pathway not chosen</v>
      </c>
      <c r="N49" s="53"/>
      <c r="O49" s="164" t="str">
        <f>IF(OR(Path=Units!$B$122, Path=Units!$B$125),'Default data'!E$152,"Pathway not chosen")</f>
        <v>Pathway not chosen</v>
      </c>
      <c r="P49" s="164" t="str">
        <f>IF(OR(Path=Units!$B$122, Path=Units!$B$125),'Default data'!F$152,"Pathway not chosen")</f>
        <v>Pathway not chosen</v>
      </c>
      <c r="Q49" s="164" t="str">
        <f>IF(OR(Path=Units!$B$122, Path=Units!$B$125),'Default data'!G$152,"Pathway not chosen")</f>
        <v>Pathway not chosen</v>
      </c>
    </row>
    <row r="50" spans="1:17" ht="18.5">
      <c r="B50" s="97" t="s">
        <v>927</v>
      </c>
      <c r="C50" s="62"/>
      <c r="D50" s="62"/>
      <c r="M50" s="103">
        <v>20</v>
      </c>
      <c r="O50" s="691" t="s">
        <v>938</v>
      </c>
      <c r="P50" s="692"/>
      <c r="Q50" s="693"/>
    </row>
    <row r="51" spans="1:17">
      <c r="O51" s="694"/>
      <c r="P51" s="695"/>
      <c r="Q51" s="696"/>
    </row>
    <row r="52" spans="1:17">
      <c r="O52" s="697"/>
      <c r="P52" s="698"/>
      <c r="Q52" s="699"/>
    </row>
    <row r="54" spans="1:17" s="592" customFormat="1">
      <c r="A54" s="590"/>
      <c r="B54" s="591" t="s">
        <v>939</v>
      </c>
    </row>
    <row r="55" spans="1:17" ht="31">
      <c r="A55" s="80"/>
    </row>
    <row r="56" spans="1:17" ht="84.65" customHeight="1">
      <c r="B56" s="106" t="s">
        <v>900</v>
      </c>
      <c r="C56" s="106" t="s">
        <v>901</v>
      </c>
      <c r="D56" s="106" t="s">
        <v>902</v>
      </c>
      <c r="E56" s="106" t="s">
        <v>903</v>
      </c>
      <c r="F56" s="106" t="s">
        <v>904</v>
      </c>
      <c r="G56" s="106" t="s">
        <v>905</v>
      </c>
      <c r="H56" s="106" t="s">
        <v>906</v>
      </c>
      <c r="I56" s="106" t="s">
        <v>907</v>
      </c>
      <c r="J56" s="106" t="s">
        <v>908</v>
      </c>
      <c r="K56" s="106" t="s">
        <v>909</v>
      </c>
      <c r="L56" s="106" t="s">
        <v>910</v>
      </c>
      <c r="M56" s="106" t="s">
        <v>911</v>
      </c>
    </row>
    <row r="57" spans="1:17">
      <c r="B57" s="674" t="s">
        <v>55</v>
      </c>
      <c r="C57" s="61" t="s">
        <v>128</v>
      </c>
      <c r="D57" s="93" t="s">
        <v>916</v>
      </c>
      <c r="E57" s="677" t="str">
        <f>Electrolysis!O9</f>
        <v/>
      </c>
      <c r="F57" s="680">
        <v>1</v>
      </c>
      <c r="G57" s="60">
        <f>IF(Electrolysis!$E$110=0,"Pathway not chosen",Electrolysis!V32+Electrolysis!V40)</f>
        <v>0</v>
      </c>
      <c r="H57" s="170">
        <f>G57*$F$57</f>
        <v>0</v>
      </c>
      <c r="I57" s="683" t="str">
        <f>Electrolysis!R9</f>
        <v/>
      </c>
      <c r="J57" s="677" t="str">
        <f>I57</f>
        <v/>
      </c>
      <c r="K57" s="59" t="e">
        <f>H57*$J$57</f>
        <v>#VALUE!</v>
      </c>
      <c r="L57" s="56" t="s">
        <v>868</v>
      </c>
      <c r="M57" s="314" t="e">
        <f>IF(Electrolysis!$E$110=0,"Pathway not chosen",IF(D57="Default",L57,K57))</f>
        <v>#VALUE!</v>
      </c>
    </row>
    <row r="58" spans="1:17">
      <c r="B58" s="675"/>
      <c r="C58" s="61" t="s">
        <v>129</v>
      </c>
      <c r="D58" s="313" t="str">
        <f>IF(Initial_questions!E$115="", IF(Initial_questions!E$112="", "User to enter in Initial Qus", Initial_questions!E$112), Initial_questions!E$115)</f>
        <v>User to enter in Initial Qus</v>
      </c>
      <c r="E58" s="678"/>
      <c r="F58" s="681"/>
      <c r="G58" s="60">
        <f>IF(Electrolysis!$E$110=0,"Pathway not chosen",Electrolysis!V53)</f>
        <v>0</v>
      </c>
      <c r="H58" s="170">
        <f t="shared" ref="H58:H62" si="6">G58*$F$57</f>
        <v>0</v>
      </c>
      <c r="I58" s="684"/>
      <c r="J58" s="678"/>
      <c r="K58" s="59" t="e">
        <f t="shared" ref="K58:K62" si="7">H58*$J$57</f>
        <v>#VALUE!</v>
      </c>
      <c r="L58" s="170" t="str">
        <f>IF(OR(Path=Units!$B$123,Path=Units!$B$125),'Default data'!$D$57,"Pathway not chosen")</f>
        <v>Pathway not chosen</v>
      </c>
      <c r="M58" s="314" t="e">
        <f>IF(Electrolysis!$E$110=0,"Pathway not chosen",IF(D58="Default",L58,K58))</f>
        <v>#VALUE!</v>
      </c>
    </row>
    <row r="59" spans="1:17" ht="16.5">
      <c r="B59" s="675"/>
      <c r="C59" s="93" t="s">
        <v>915</v>
      </c>
      <c r="D59" s="61" t="s">
        <v>916</v>
      </c>
      <c r="E59" s="678"/>
      <c r="F59" s="681"/>
      <c r="G59" s="60">
        <f>IF(Electrolysis!$E$110=0,"Pathway not chosen",Electrolysis!V66)</f>
        <v>0</v>
      </c>
      <c r="H59" s="170">
        <f t="shared" si="6"/>
        <v>0</v>
      </c>
      <c r="I59" s="684"/>
      <c r="J59" s="678"/>
      <c r="K59" s="59" t="e">
        <f t="shared" si="7"/>
        <v>#VALUE!</v>
      </c>
      <c r="L59" s="56" t="s">
        <v>868</v>
      </c>
      <c r="M59" s="314" t="e">
        <f>IF(Electrolysis!$E$110=0,"Pathway not chosen",IF(D59="Default",L59,K59))</f>
        <v>#VALUE!</v>
      </c>
    </row>
    <row r="60" spans="1:17" ht="16.5">
      <c r="B60" s="675"/>
      <c r="C60" s="61" t="s">
        <v>917</v>
      </c>
      <c r="D60" s="61" t="s">
        <v>916</v>
      </c>
      <c r="E60" s="678"/>
      <c r="F60" s="681"/>
      <c r="G60" s="60">
        <f>IF(Electrolysis!$E$110=0,"Pathway not chosen",Electrolysis!V74)</f>
        <v>0</v>
      </c>
      <c r="H60" s="170">
        <f t="shared" si="6"/>
        <v>0</v>
      </c>
      <c r="I60" s="684"/>
      <c r="J60" s="678"/>
      <c r="K60" s="59" t="e">
        <f t="shared" si="7"/>
        <v>#VALUE!</v>
      </c>
      <c r="L60" s="56" t="s">
        <v>868</v>
      </c>
      <c r="M60" s="314" t="e">
        <f>IF(Electrolysis!$E$110=0,"Pathway not chosen",IF(D60="Default",L60,K60))</f>
        <v>#VALUE!</v>
      </c>
    </row>
    <row r="61" spans="1:17" ht="16.5">
      <c r="B61" s="675"/>
      <c r="C61" s="61" t="s">
        <v>918</v>
      </c>
      <c r="D61" s="61" t="s">
        <v>916</v>
      </c>
      <c r="E61" s="678"/>
      <c r="F61" s="681"/>
      <c r="G61" s="60">
        <f>IF(Electrolysis!$E$110=0,"Pathway not chosen",Electrolysis!V83)</f>
        <v>0</v>
      </c>
      <c r="H61" s="170">
        <f t="shared" si="6"/>
        <v>0</v>
      </c>
      <c r="I61" s="684"/>
      <c r="J61" s="678"/>
      <c r="K61" s="59" t="e">
        <f t="shared" si="7"/>
        <v>#VALUE!</v>
      </c>
      <c r="L61" s="56" t="s">
        <v>868</v>
      </c>
      <c r="M61" s="314" t="e">
        <f>IF(Electrolysis!$E$110=0,"Pathway not chosen",IF(D61="Default",L61,K61))</f>
        <v>#VALUE!</v>
      </c>
    </row>
    <row r="62" spans="1:17" ht="16.5">
      <c r="B62" s="676"/>
      <c r="C62" s="61" t="s">
        <v>919</v>
      </c>
      <c r="D62" s="61" t="s">
        <v>916</v>
      </c>
      <c r="E62" s="679"/>
      <c r="F62" s="682"/>
      <c r="G62" s="60">
        <f>IF(Electrolysis!$E$110=0,"Pathway not chosen",Electrolysis!V91)</f>
        <v>0</v>
      </c>
      <c r="H62" s="170">
        <f t="shared" si="6"/>
        <v>0</v>
      </c>
      <c r="I62" s="685"/>
      <c r="J62" s="679"/>
      <c r="K62" s="59" t="e">
        <f t="shared" si="7"/>
        <v>#VALUE!</v>
      </c>
      <c r="L62" s="56" t="s">
        <v>868</v>
      </c>
      <c r="M62" s="314" t="e">
        <f>IF(Electrolysis!$E$110=0,"Pathway not chosen",IF(D62="Default",L62,K62))</f>
        <v>#VALUE!</v>
      </c>
    </row>
    <row r="63" spans="1:17" ht="29">
      <c r="B63" s="61" t="s">
        <v>920</v>
      </c>
      <c r="C63" s="689" t="s">
        <v>921</v>
      </c>
      <c r="D63" s="545" t="s">
        <v>922</v>
      </c>
      <c r="L63" s="522" t="str">
        <f>'Typical data'!$D$331</f>
        <v>Yet to provide pressure or electricity source</v>
      </c>
      <c r="M63" s="521" t="str">
        <f>IF(Electrolysis!$E$110=0,"Pathway not chosen",L63)</f>
        <v>Yet to provide pressure or electricity source</v>
      </c>
    </row>
    <row r="64" spans="1:17" ht="29">
      <c r="B64" s="61" t="s">
        <v>924</v>
      </c>
      <c r="C64" s="690"/>
      <c r="D64" s="545" t="s">
        <v>925</v>
      </c>
      <c r="L64" s="524" t="str">
        <f>'Typical data'!$D$349</f>
        <v>Yet to provide electricity source</v>
      </c>
      <c r="M64" s="521" t="str">
        <f>IF(Electrolysis!$E$110=0,"Pathway not chosen",L64)</f>
        <v>Yet to provide electricity source</v>
      </c>
    </row>
    <row r="66" spans="1:17" ht="18.5">
      <c r="B66" s="97" t="s">
        <v>926</v>
      </c>
      <c r="C66" s="62"/>
      <c r="D66" s="62"/>
      <c r="E66" s="99">
        <f>PRODUCT(E57:E64)</f>
        <v>0</v>
      </c>
      <c r="F66" s="28"/>
      <c r="G66" s="28"/>
      <c r="H66" s="28"/>
      <c r="M66" s="102" t="str">
        <f>IF(COUNTIF(M57:M64,"*")&gt;0,"Pathway not chosen",SUM(M57:M64))</f>
        <v>Pathway not chosen</v>
      </c>
      <c r="N66" s="53"/>
    </row>
    <row r="67" spans="1:17" ht="18.649999999999999" customHeight="1">
      <c r="B67" s="97" t="s">
        <v>927</v>
      </c>
      <c r="C67" s="62"/>
      <c r="D67" s="62"/>
      <c r="M67" s="103">
        <v>20</v>
      </c>
    </row>
    <row r="71" spans="1:17" s="279" customFormat="1">
      <c r="A71" s="432"/>
      <c r="B71" s="278" t="s">
        <v>940</v>
      </c>
    </row>
    <row r="72" spans="1:17" ht="31">
      <c r="A72" s="80"/>
    </row>
    <row r="73" spans="1:17" ht="61">
      <c r="B73" s="106" t="s">
        <v>900</v>
      </c>
      <c r="C73" s="106" t="s">
        <v>901</v>
      </c>
      <c r="D73" s="106" t="s">
        <v>902</v>
      </c>
      <c r="E73" s="106" t="s">
        <v>903</v>
      </c>
      <c r="F73" s="106" t="s">
        <v>904</v>
      </c>
      <c r="G73" s="106" t="s">
        <v>905</v>
      </c>
      <c r="H73" s="106" t="s">
        <v>906</v>
      </c>
      <c r="I73" s="106" t="s">
        <v>907</v>
      </c>
      <c r="J73" s="106" t="s">
        <v>908</v>
      </c>
      <c r="K73" s="106" t="s">
        <v>909</v>
      </c>
      <c r="L73" s="106" t="s">
        <v>910</v>
      </c>
      <c r="M73" s="106" t="s">
        <v>911</v>
      </c>
      <c r="O73" s="366"/>
      <c r="P73" s="366"/>
      <c r="Q73" s="366"/>
    </row>
    <row r="74" spans="1:17">
      <c r="B74" s="686" t="s">
        <v>55</v>
      </c>
      <c r="C74" s="93" t="s">
        <v>128</v>
      </c>
      <c r="D74" s="93" t="s">
        <v>916</v>
      </c>
      <c r="E74" s="677" t="str">
        <f>Electrolysis!O9</f>
        <v/>
      </c>
      <c r="F74" s="680">
        <v>1</v>
      </c>
      <c r="G74" s="60">
        <f>IF(Electrolysis!$E$111=0,"Pathway not chosen",Electrolysis!V36+Electrolysis!V40)</f>
        <v>0</v>
      </c>
      <c r="H74" s="170">
        <f>G74*$F$74</f>
        <v>0</v>
      </c>
      <c r="I74" s="683" t="str">
        <f>Electrolysis!R9</f>
        <v/>
      </c>
      <c r="J74" s="677" t="str">
        <f>I74</f>
        <v/>
      </c>
      <c r="K74" s="59" t="e">
        <f t="shared" ref="K74:K79" si="8">H74*$J$74</f>
        <v>#VALUE!</v>
      </c>
      <c r="L74" s="56" t="s">
        <v>868</v>
      </c>
      <c r="M74" s="314" t="e">
        <f>IF(Electrolysis!$E$111=0,"Pathway not chosen",IF(D74="Default",L74,K74))</f>
        <v>#VALUE!</v>
      </c>
      <c r="O74" s="367"/>
      <c r="P74" s="367"/>
      <c r="Q74" s="367"/>
    </row>
    <row r="75" spans="1:17">
      <c r="B75" s="687"/>
      <c r="C75" s="93" t="s">
        <v>129</v>
      </c>
      <c r="D75" s="313" t="str">
        <f>IF(Initial_questions!E$115="", IF(Initial_questions!E$112="", "User to enter in Initial Qus", Initial_questions!E$112), Initial_questions!E$115)</f>
        <v>User to enter in Initial Qus</v>
      </c>
      <c r="E75" s="678"/>
      <c r="F75" s="681"/>
      <c r="G75" s="60">
        <f>IF(Electrolysis!$E$111=0,"Pathway not chosen",Electrolysis!V53)</f>
        <v>0</v>
      </c>
      <c r="H75" s="170">
        <f t="shared" ref="H75:H79" si="9">G75*$F$74</f>
        <v>0</v>
      </c>
      <c r="I75" s="684"/>
      <c r="J75" s="678"/>
      <c r="K75" s="59" t="e">
        <f t="shared" si="8"/>
        <v>#VALUE!</v>
      </c>
      <c r="L75" s="59" t="str" cm="1">
        <f t="array" ref="L75">IF(OR(Path=Units!$B$124:$B$125),'Default data'!$D$57,"Pathway not chosen")</f>
        <v>Pathway not chosen</v>
      </c>
      <c r="M75" s="314" t="e">
        <f>IF(Electrolysis!$E$111=0,"Pathway not chosen",IF(D75="Default",L75,K75))</f>
        <v>#VALUE!</v>
      </c>
      <c r="O75" s="367"/>
      <c r="P75" s="367"/>
      <c r="Q75" s="367"/>
    </row>
    <row r="76" spans="1:17" ht="16.5">
      <c r="B76" s="687"/>
      <c r="C76" s="93" t="s">
        <v>915</v>
      </c>
      <c r="D76" s="93" t="s">
        <v>916</v>
      </c>
      <c r="E76" s="678"/>
      <c r="F76" s="681"/>
      <c r="G76" s="60">
        <f>IF(Electrolysis!$E$111=0,"Pathway not chosen",Electrolysis!V66)</f>
        <v>0</v>
      </c>
      <c r="H76" s="170">
        <f t="shared" si="9"/>
        <v>0</v>
      </c>
      <c r="I76" s="684"/>
      <c r="J76" s="678"/>
      <c r="K76" s="59" t="e">
        <f t="shared" si="8"/>
        <v>#VALUE!</v>
      </c>
      <c r="L76" s="56" t="s">
        <v>868</v>
      </c>
      <c r="M76" s="314" t="e">
        <f>IF(Electrolysis!$E$111=0,"Pathway not chosen",IF(D76="Default",L76,K76))</f>
        <v>#VALUE!</v>
      </c>
      <c r="O76" s="367"/>
      <c r="P76" s="367"/>
      <c r="Q76" s="367"/>
    </row>
    <row r="77" spans="1:17" ht="16.5">
      <c r="B77" s="687"/>
      <c r="C77" s="61" t="s">
        <v>917</v>
      </c>
      <c r="D77" s="93" t="s">
        <v>916</v>
      </c>
      <c r="E77" s="678"/>
      <c r="F77" s="681"/>
      <c r="G77" s="60">
        <f>IF(Electrolysis!$E$111=0,"Pathway not chosen",Electrolysis!V74)</f>
        <v>0</v>
      </c>
      <c r="H77" s="170">
        <f t="shared" si="9"/>
        <v>0</v>
      </c>
      <c r="I77" s="684"/>
      <c r="J77" s="678"/>
      <c r="K77" s="59" t="e">
        <f t="shared" si="8"/>
        <v>#VALUE!</v>
      </c>
      <c r="L77" s="56" t="s">
        <v>868</v>
      </c>
      <c r="M77" s="314" t="e">
        <f>IF(Electrolysis!$E$111=0,"Pathway not chosen",IF(D77="Default",L77,K77))</f>
        <v>#VALUE!</v>
      </c>
      <c r="O77" s="367"/>
      <c r="P77" s="367"/>
      <c r="Q77" s="367"/>
    </row>
    <row r="78" spans="1:17" ht="16.5">
      <c r="B78" s="687"/>
      <c r="C78" s="93" t="s">
        <v>918</v>
      </c>
      <c r="D78" s="93" t="s">
        <v>916</v>
      </c>
      <c r="E78" s="678"/>
      <c r="F78" s="681"/>
      <c r="G78" s="60">
        <f>IF(Electrolysis!$E$111=0,"Pathway not chosen",Electrolysis!V83)</f>
        <v>0</v>
      </c>
      <c r="H78" s="170">
        <f t="shared" si="9"/>
        <v>0</v>
      </c>
      <c r="I78" s="684"/>
      <c r="J78" s="678"/>
      <c r="K78" s="59" t="e">
        <f t="shared" si="8"/>
        <v>#VALUE!</v>
      </c>
      <c r="L78" s="56" t="s">
        <v>868</v>
      </c>
      <c r="M78" s="314" t="e">
        <f>IF(Electrolysis!$E$111=0,"Pathway not chosen",IF(D78="Default",L78,K78))</f>
        <v>#VALUE!</v>
      </c>
      <c r="O78" s="367"/>
      <c r="P78" s="367"/>
      <c r="Q78" s="367"/>
    </row>
    <row r="79" spans="1:17" ht="16.5">
      <c r="B79" s="688"/>
      <c r="C79" s="93" t="s">
        <v>919</v>
      </c>
      <c r="D79" s="93" t="s">
        <v>916</v>
      </c>
      <c r="E79" s="679"/>
      <c r="F79" s="682"/>
      <c r="G79" s="60">
        <f>IF(Electrolysis!$E$111=0,"Pathway not chosen",Electrolysis!V91)</f>
        <v>0</v>
      </c>
      <c r="H79" s="170">
        <f t="shared" si="9"/>
        <v>0</v>
      </c>
      <c r="I79" s="685"/>
      <c r="J79" s="679"/>
      <c r="K79" s="59" t="e">
        <f t="shared" si="8"/>
        <v>#VALUE!</v>
      </c>
      <c r="L79" s="56" t="s">
        <v>868</v>
      </c>
      <c r="M79" s="314" t="e">
        <f>IF(Electrolysis!$E$111=0,"Pathway not chosen",IF(D79="Default",L79,K79))</f>
        <v>#VALUE!</v>
      </c>
      <c r="O79" s="367"/>
      <c r="P79" s="367"/>
      <c r="Q79" s="367"/>
    </row>
    <row r="80" spans="1:17" ht="29">
      <c r="B80" s="93" t="s">
        <v>920</v>
      </c>
      <c r="C80" s="689" t="s">
        <v>921</v>
      </c>
      <c r="D80" s="546" t="s">
        <v>922</v>
      </c>
      <c r="L80" s="522" t="str">
        <f>'Typical data'!$D$331</f>
        <v>Yet to provide pressure or electricity source</v>
      </c>
      <c r="M80" s="521" t="str">
        <f>IF(Electrolysis!$E$111=0,"Pathway not chosen",L80)</f>
        <v>Yet to provide pressure or electricity source</v>
      </c>
      <c r="O80" s="367"/>
      <c r="P80" s="367"/>
      <c r="Q80" s="367"/>
    </row>
    <row r="81" spans="2:17" ht="29">
      <c r="B81" s="93" t="s">
        <v>924</v>
      </c>
      <c r="C81" s="690"/>
      <c r="D81" s="546" t="s">
        <v>925</v>
      </c>
      <c r="L81" s="524" t="str">
        <f>'Typical data'!$D$349</f>
        <v>Yet to provide electricity source</v>
      </c>
      <c r="M81" s="521" t="str">
        <f>IF(Electrolysis!$E$111=0,"Pathway not chosen",L81)</f>
        <v>Yet to provide electricity source</v>
      </c>
      <c r="O81" s="367"/>
      <c r="P81" s="367"/>
      <c r="Q81" s="367"/>
    </row>
    <row r="83" spans="2:17" ht="18.5">
      <c r="B83" s="97" t="s">
        <v>926</v>
      </c>
      <c r="C83" s="62"/>
      <c r="D83" s="62"/>
      <c r="E83" s="99">
        <f>PRODUCT(E74:E81)</f>
        <v>0</v>
      </c>
      <c r="F83" s="28"/>
      <c r="G83" s="28"/>
      <c r="H83" s="28"/>
      <c r="M83" s="102" t="str">
        <f>IF(COUNTIF(M74:M81,"*")&gt;0,"Pathway not chosen",SUM(M74:M81))</f>
        <v>Pathway not chosen</v>
      </c>
      <c r="N83" s="53"/>
      <c r="O83" s="367"/>
      <c r="P83" s="367"/>
      <c r="Q83" s="367"/>
    </row>
    <row r="84" spans="2:17" ht="18.5">
      <c r="B84" s="97" t="s">
        <v>927</v>
      </c>
      <c r="C84" s="62"/>
      <c r="D84" s="62"/>
      <c r="M84" s="103">
        <v>20</v>
      </c>
    </row>
  </sheetData>
  <customSheetViews>
    <customSheetView guid="{2D920366-22B2-4182-A65D-0EDBE614FB37}" showGridLines="0">
      <pane xSplit="3" topLeftCell="D1" activePane="topRight" state="frozen"/>
      <selection pane="topRight"/>
      <pageMargins left="0" right="0" top="0" bottom="0" header="0" footer="0"/>
      <pageSetup paperSize="9" orientation="portrait" r:id="rId1"/>
    </customSheetView>
    <customSheetView guid="{F468A2FD-7987-4A9D-8BAE-1AACE523607F}" showGridLines="0" state="hidden">
      <pane xSplit="3" topLeftCell="D1" activePane="topRight" state="frozen"/>
      <selection pane="topRight"/>
      <pageMargins left="0" right="0" top="0" bottom="0" header="0" footer="0"/>
      <pageSetup paperSize="9" orientation="portrait" r:id="rId2"/>
    </customSheetView>
    <customSheetView guid="{D97B1299-69D0-4EE0-B673-CCF74742F96B}" state="hidden">
      <selection activeCell="D2" sqref="D2"/>
      <pageMargins left="0" right="0" top="0" bottom="0" header="0" footer="0"/>
      <pageSetup paperSize="9" orientation="portrait" r:id="rId3"/>
    </customSheetView>
    <customSheetView guid="{3F0A4FBA-5323-448F-A023-B3E14C54064C}" showGridLines="0" state="hidden">
      <pane xSplit="3" topLeftCell="D1" activePane="topRight" state="frozen"/>
      <selection pane="topRight" activeCell="D2" sqref="D2"/>
      <pageMargins left="0" right="0" top="0" bottom="0" header="0" footer="0"/>
      <pageSetup paperSize="9" orientation="portrait" r:id="rId4"/>
    </customSheetView>
    <customSheetView guid="{E6EFD927-84B2-4D06-BB59-59D9DF522DA2}" showGridLines="0" state="hidden">
      <pane xSplit="3" topLeftCell="D1" activePane="topRight" state="frozen"/>
      <selection pane="topRight"/>
      <pageMargins left="0" right="0" top="0" bottom="0" header="0" footer="0"/>
      <pageSetup paperSize="9" orientation="portrait" r:id="rId5"/>
    </customSheetView>
    <customSheetView guid="{0E935136-9A80-44B6-88D5-61E64D742049}" showGridLines="0">
      <pane xSplit="3" topLeftCell="D1" activePane="topRight" state="frozen"/>
      <selection pane="topRight"/>
      <pageMargins left="0" right="0" top="0" bottom="0" header="0" footer="0"/>
      <pageSetup paperSize="9" orientation="portrait" r:id="rId6"/>
    </customSheetView>
    <customSheetView guid="{1C16EB38-F785-4168-9938-104594734038}" showGridLines="0" state="hidden">
      <pane xSplit="3" topLeftCell="D1" activePane="topRight" state="frozen"/>
      <selection pane="topRight"/>
      <pageMargins left="0" right="0" top="0" bottom="0" header="0" footer="0"/>
      <pageSetup paperSize="9" orientation="portrait" r:id="rId7"/>
    </customSheetView>
    <customSheetView guid="{EECBF9DF-6D77-4263-85DA-71E40216BADD}" showGridLines="0" state="hidden">
      <pane xSplit="3" topLeftCell="D1" activePane="topRight" state="frozen"/>
      <selection pane="topRight"/>
      <pageMargins left="0" right="0" top="0" bottom="0" header="0" footer="0"/>
      <pageSetup paperSize="9" orientation="portrait" r:id="rId8"/>
    </customSheetView>
    <customSheetView guid="{F03309BC-D3FA-4CF2-833B-D6D9A95FE1FB}" showGridLines="0" state="hidden">
      <pane xSplit="3" topLeftCell="D1" activePane="topRight" state="frozen"/>
      <selection pane="topRight" activeCell="D2" sqref="D2"/>
      <pageMargins left="0" right="0" top="0" bottom="0" header="0" footer="0"/>
      <pageSetup paperSize="9" orientation="portrait" r:id="rId9"/>
    </customSheetView>
  </customSheetViews>
  <mergeCells count="33">
    <mergeCell ref="B57:B62"/>
    <mergeCell ref="E57:E62"/>
    <mergeCell ref="F57:F62"/>
    <mergeCell ref="I57:I62"/>
    <mergeCell ref="J57:J62"/>
    <mergeCell ref="C80:C81"/>
    <mergeCell ref="O33:Q35"/>
    <mergeCell ref="O16:Q18"/>
    <mergeCell ref="O50:Q52"/>
    <mergeCell ref="J23:J28"/>
    <mergeCell ref="C29:C30"/>
    <mergeCell ref="J40:J45"/>
    <mergeCell ref="C46:C47"/>
    <mergeCell ref="C63:C64"/>
    <mergeCell ref="B74:B79"/>
    <mergeCell ref="E74:E79"/>
    <mergeCell ref="F74:F79"/>
    <mergeCell ref="I74:I79"/>
    <mergeCell ref="J74:J79"/>
    <mergeCell ref="J6:J11"/>
    <mergeCell ref="C12:C13"/>
    <mergeCell ref="B23:B28"/>
    <mergeCell ref="E23:E28"/>
    <mergeCell ref="F23:F28"/>
    <mergeCell ref="I23:I28"/>
    <mergeCell ref="B40:B45"/>
    <mergeCell ref="E40:E45"/>
    <mergeCell ref="F40:F45"/>
    <mergeCell ref="I40:I45"/>
    <mergeCell ref="B6:B11"/>
    <mergeCell ref="E6:E11"/>
    <mergeCell ref="F6:F11"/>
    <mergeCell ref="I6:I11"/>
  </mergeCells>
  <pageMargins left="0" right="0" top="0" bottom="0" header="0" footer="0"/>
  <pageSetup paperSize="9" orientation="portrait" r:id="rId10"/>
  <extLst>
    <ext xmlns:x14="http://schemas.microsoft.com/office/spreadsheetml/2009/9/main" uri="{78C0D931-6437-407d-A8EE-F0AAD7539E65}">
      <x14:conditionalFormattings>
        <x14:conditionalFormatting xmlns:xm="http://schemas.microsoft.com/office/excel/2006/main">
          <x14:cfRule type="expression" priority="8" id="{5DA144C0-1101-4842-8BED-40E4E2AED795}">
            <xm:f>AND(Path&lt;&gt;Units!$B$120,Path&lt;&gt;Units!$B$121,Path&lt;&gt;Units!$B$122,Path&lt;&gt;Units!$B$123,Path&lt;&gt;Units!$B$124,Path&lt;&gt;Units!$B$125,Master_Switch="On")</xm:f>
            <x14:dxf>
              <font>
                <color theme="0"/>
              </font>
              <fill>
                <patternFill>
                  <bgColor theme="0"/>
                </patternFill>
              </fill>
              <border>
                <left/>
                <right/>
                <top/>
                <bottom/>
                <vertical/>
                <horizontal/>
              </border>
            </x14:dxf>
          </x14:cfRule>
          <xm:sqref>A3:XFD216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A674A-11FB-48A1-B7A3-AC0883629141}">
  <sheetPr codeName="Sheet11">
    <tabColor rgb="FFFF66CC"/>
  </sheetPr>
  <dimension ref="A1:Q22"/>
  <sheetViews>
    <sheetView showGridLines="0" zoomScaleNormal="100" workbookViewId="0">
      <pane xSplit="3" topLeftCell="D1" activePane="topRight" state="frozen"/>
      <selection pane="topRight"/>
    </sheetView>
  </sheetViews>
  <sheetFormatPr defaultColWidth="8.81640625" defaultRowHeight="14.5"/>
  <cols>
    <col min="1" max="1" width="4.54296875" customWidth="1"/>
    <col min="2" max="2" width="32.453125" customWidth="1"/>
    <col min="3" max="3" width="30.54296875" customWidth="1"/>
    <col min="4" max="4" width="29.54296875" customWidth="1"/>
    <col min="5" max="5" width="15.81640625" customWidth="1"/>
    <col min="6" max="6" width="31.81640625" customWidth="1"/>
    <col min="7" max="7" width="28.54296875" customWidth="1"/>
    <col min="8" max="8" width="30.453125" customWidth="1"/>
    <col min="9" max="10" width="26.81640625" customWidth="1"/>
    <col min="11" max="11" width="35.1796875" customWidth="1"/>
    <col min="12" max="12" width="20.81640625" customWidth="1"/>
    <col min="13" max="13" width="29" customWidth="1"/>
    <col min="15" max="15" width="30.1796875" customWidth="1"/>
    <col min="16" max="16" width="28.81640625" customWidth="1"/>
    <col min="17" max="17" width="28.54296875" customWidth="1"/>
  </cols>
  <sheetData>
    <row r="1" spans="1:17" ht="31">
      <c r="A1" s="80" t="str">
        <f>IF(AND(Path&lt;&gt;Units!$B$127, Path&lt;&gt;Units!$B$126,Path&lt;&gt;Units!$B$128,Master_Switch="On"),"User should not use this worksheet, but switch to a non-blank GHG summary worksheet","")</f>
        <v>User should not use this worksheet, but switch to a non-blank GHG summary worksheet</v>
      </c>
    </row>
    <row r="2" spans="1:17" ht="84.65" customHeight="1">
      <c r="B2" s="106" t="s">
        <v>900</v>
      </c>
      <c r="C2" s="106" t="s">
        <v>901</v>
      </c>
      <c r="D2" s="106" t="s">
        <v>902</v>
      </c>
      <c r="E2" s="106" t="s">
        <v>903</v>
      </c>
      <c r="F2" s="106" t="s">
        <v>904</v>
      </c>
      <c r="G2" s="106" t="s">
        <v>905</v>
      </c>
      <c r="H2" s="106" t="s">
        <v>906</v>
      </c>
      <c r="I2" s="106" t="s">
        <v>907</v>
      </c>
      <c r="J2" s="106" t="s">
        <v>908</v>
      </c>
      <c r="K2" s="106" t="s">
        <v>909</v>
      </c>
      <c r="L2" s="106" t="s">
        <v>910</v>
      </c>
      <c r="M2" s="106" t="s">
        <v>911</v>
      </c>
      <c r="O2" s="175" t="str">
        <f>IF(Path=Units!$B$127,"UK weighted average fossil natural gas ATR+CCS, GHG emissions from LCA tool (central case) - for comparison only
(gCO2e/MJLHV standard H2)", IF(Path=Units!$B$126,"UK weighted average fossil natural gas SMR+CCS, GHG emissions from LCA tool (central case) - for comparison only
(gCO2e/MJLHV standard H2)","Pathway not available from LCA tool"))</f>
        <v>Pathway not available from LCA tool</v>
      </c>
      <c r="P2" s="175" t="str">
        <f>IF(Path=Units!$B$127,"Norwegian piped fossil natural gas to ATR+CCS, GHG emissions from LCA tool (best case) - for comparison only
(gCO2e/MJLHV standard H2)",IF(Path=Units!$B$126,"Norwegian piped fossil natural gas to SMR+CCS, GHG emissions from LCA tool (best case) - for comparison only
(gCO2e/MJLHV standard H2)", "Pathway not available from LCA tool"))</f>
        <v>Pathway not available from LCA tool</v>
      </c>
      <c r="Q2" s="175" t="str">
        <f>IF(Path=Units!$B$127,"Imported fossil LNG to ATR+CCS, GHG emissions from LCA tool (worst case) - for comparison only
(gCO2e/MJLHV standard H2)",IF(Path=Units!$B$126,"Imported fossil LNG to SMR+CCS, GHG emissions from LCA tool (worst case) - for comparison only
(gCO2e/MJLHV standard H2)", "Pathway not available from LCA tool"))</f>
        <v>Pathway not available from LCA tool</v>
      </c>
    </row>
    <row r="3" spans="1:17">
      <c r="B3" s="61" t="s">
        <v>941</v>
      </c>
      <c r="C3" s="674" t="s">
        <v>942</v>
      </c>
      <c r="D3" s="706" t="str">
        <f>IF(Initial_questions!E$113="", IF(Initial_questions!E$112="", "User to enter in Initial Qus", Initial_questions!E$112), Initial_questions!E$113)</f>
        <v>User to enter in Initial Qus</v>
      </c>
      <c r="E3" s="57" t="str">
        <f>NG_Collection!O20</f>
        <v>NA</v>
      </c>
      <c r="F3" s="170" t="e">
        <f>F4/E4</f>
        <v>#VALUE!</v>
      </c>
      <c r="G3" s="60">
        <f>IF(Initial_questions!$E$73=Units!$H$120, "NSTA data used, ignore row", NG_Collection!V34)</f>
        <v>0</v>
      </c>
      <c r="H3" s="58" t="e">
        <f>IF(Initial_questions!$E$73=Units!$H$120, 0, G3*F3)</f>
        <v>#VALUE!</v>
      </c>
      <c r="I3" s="57" t="str">
        <f>IF(Initial_questions!$E$73=Units!$H$120, 100%, NG_Collection!R20)</f>
        <v/>
      </c>
      <c r="J3" s="57" t="e">
        <f t="shared" ref="J3:J4" si="0">J4*I3</f>
        <v>#VALUE!</v>
      </c>
      <c r="K3" s="59" t="e">
        <f t="shared" ref="K3:K6" si="1">H3*J3</f>
        <v>#VALUE!</v>
      </c>
      <c r="L3" s="709" t="str">
        <f>IF(Path=Units!$B$126,'Default data'!$D$15, IF(Path=Units!$B$127,'Default data'!$D$16,IF(Path=Units!$B$128,'Default data'!$D$17,"Pathway not chosen")))</f>
        <v>Pathway not chosen</v>
      </c>
      <c r="M3" s="711" t="e">
        <f>MAX(0,IF($D$3="Default",L3,K3+K4+K5+K6))</f>
        <v>#VALUE!</v>
      </c>
      <c r="O3" s="701" t="str">
        <f>IF(Path=Units!$B$126,'Default data'!E$15,IF(Path=Units!$B$127,'Default data'!E$16,IF(Path=Units!$B$128,"Pathway not available from LCA tool","Pathway not chosen")))</f>
        <v>Pathway not chosen</v>
      </c>
      <c r="P3" s="701" t="str">
        <f>IF(Path=Units!$B$126,'Default data'!F$15,IF(Path=Units!$B$127,'Default data'!F$16,IF(Path=Units!$B$128,"Pathway not available from LCA tool","Pathway not chosen")))</f>
        <v>Pathway not chosen</v>
      </c>
      <c r="Q3" s="701" t="str">
        <f>IF(Path=Units!$B$126,'Default data'!G$15,IF(Path=Units!$B$127,'Default data'!G$16,IF(Path=Units!$B$128,"Pathway not available from LCA tool","Pathway not chosen")))</f>
        <v>Pathway not chosen</v>
      </c>
    </row>
    <row r="4" spans="1:17">
      <c r="B4" s="61" t="s">
        <v>943</v>
      </c>
      <c r="C4" s="675"/>
      <c r="D4" s="707"/>
      <c r="E4" s="57" t="str">
        <f>IF(Initial_questions!$E$73=Units!$H$120,100%, NG_Transport!O20)</f>
        <v/>
      </c>
      <c r="F4" s="170" t="e">
        <f>F5/E5</f>
        <v>#VALUE!</v>
      </c>
      <c r="G4" s="60">
        <f>IF(Initial_questions!$E$73=Units!$H$120, "NSTA data used, ignore row", NG_Transport!V33)</f>
        <v>0</v>
      </c>
      <c r="H4" s="58" t="e">
        <f>IF(Initial_questions!$E$73=Units!$H$120, 0, G4*F4)</f>
        <v>#VALUE!</v>
      </c>
      <c r="I4" s="57" t="str">
        <f>IF(Initial_questions!$E$73=Units!$H$120, 100%, NG_Transport!R20)</f>
        <v/>
      </c>
      <c r="J4" s="57" t="e">
        <f t="shared" si="0"/>
        <v>#VALUE!</v>
      </c>
      <c r="K4" s="59" t="e">
        <f t="shared" si="1"/>
        <v>#VALUE!</v>
      </c>
      <c r="L4" s="710"/>
      <c r="M4" s="712"/>
      <c r="O4" s="702"/>
      <c r="P4" s="702"/>
      <c r="Q4" s="702"/>
    </row>
    <row r="5" spans="1:17">
      <c r="B5" s="61" t="s">
        <v>59</v>
      </c>
      <c r="C5" s="675"/>
      <c r="D5" s="707"/>
      <c r="E5" s="57" t="str">
        <f>IF(Initial_questions!$E$73=Units!$H$120, 100%, NG_Processing!O20)</f>
        <v/>
      </c>
      <c r="F5" s="170" t="e">
        <f>F6/E6</f>
        <v>#VALUE!</v>
      </c>
      <c r="G5" s="60">
        <f>IF(Initial_questions!$E$73=Units!$H$120, "NSTA data used, ignore row", NG_Processing!V34)</f>
        <v>0</v>
      </c>
      <c r="H5" s="58" t="e">
        <f>IF(Initial_questions!$E$73=Units!$H$120, 0, G5*F5)</f>
        <v>#VALUE!</v>
      </c>
      <c r="I5" s="57" t="str">
        <f>IF(Initial_questions!$E$73=Units!$H$120, 100%, NG_Processing!R20)</f>
        <v/>
      </c>
      <c r="J5" s="57" t="e">
        <f>J6*I5</f>
        <v>#VALUE!</v>
      </c>
      <c r="K5" s="59" t="e">
        <f t="shared" si="1"/>
        <v>#VALUE!</v>
      </c>
      <c r="L5" s="710"/>
      <c r="M5" s="712"/>
      <c r="O5" s="702"/>
      <c r="P5" s="702"/>
      <c r="Q5" s="702"/>
    </row>
    <row r="6" spans="1:17">
      <c r="B6" s="61" t="s">
        <v>60</v>
      </c>
      <c r="C6" s="676"/>
      <c r="D6" s="708"/>
      <c r="E6" s="57" t="str">
        <f>IF(Initial_questions!$E$73=Units!$H$120, 100%, NG_Further_Transport!O20)</f>
        <v/>
      </c>
      <c r="F6" s="170" t="e">
        <f>F7/E7</f>
        <v>#VALUE!</v>
      </c>
      <c r="G6" s="60">
        <f>IF(Initial_questions!$E$73=Units!$H$120, 'Typical data'!$C$252, NG_Further_Transport!V33)</f>
        <v>0</v>
      </c>
      <c r="H6" s="58" t="e">
        <f t="shared" ref="H6" si="2">G6*F6</f>
        <v>#VALUE!</v>
      </c>
      <c r="I6" s="57" t="str">
        <f>IF(Initial_questions!$E$73=Units!$H$120, 100%, NG_Further_Transport!R20)</f>
        <v/>
      </c>
      <c r="J6" s="57" t="e">
        <f>J7*I6</f>
        <v>#VALUE!</v>
      </c>
      <c r="K6" s="59" t="e">
        <f t="shared" si="1"/>
        <v>#VALUE!</v>
      </c>
      <c r="L6" s="710"/>
      <c r="M6" s="713"/>
      <c r="O6" s="703"/>
      <c r="P6" s="703"/>
      <c r="Q6" s="703"/>
    </row>
    <row r="7" spans="1:17">
      <c r="B7" s="686" t="s">
        <v>61</v>
      </c>
      <c r="C7" s="61" t="s">
        <v>128</v>
      </c>
      <c r="D7" s="313" t="str">
        <f>IF(Initial_questions!E$114="", IF(Initial_questions!E$112="", "User to enter in Initial Qus", Initial_questions!E$112), Initial_questions!E$114)</f>
        <v>User to enter in Initial Qus</v>
      </c>
      <c r="E7" s="677" t="str">
        <f>NG_Reforming_CCS!O9</f>
        <v/>
      </c>
      <c r="F7" s="680">
        <v>1</v>
      </c>
      <c r="G7" s="60">
        <f>NG_Reforming_CCS!V20</f>
        <v>0</v>
      </c>
      <c r="H7" s="58">
        <f>G7*$F$7</f>
        <v>0</v>
      </c>
      <c r="I7" s="677" t="str">
        <f>NG_Reforming_CCS!R9</f>
        <v/>
      </c>
      <c r="J7" s="677" t="str">
        <f>I7</f>
        <v/>
      </c>
      <c r="K7" s="59" t="e">
        <f>H7*$J$7</f>
        <v>#VALUE!</v>
      </c>
      <c r="L7" s="170" t="str">
        <f>IF(Path=Units!$B$126,'Default data'!$D$31,IF(Path=Units!$B$127,'Default data'!$D$32, IF(Path=Units!$B$128,'Default data'!$D$33,"Pathway not chosen")))</f>
        <v>Pathway not chosen</v>
      </c>
      <c r="M7" s="314" t="e">
        <f>IF(D7="Default",L7,K7)</f>
        <v>#VALUE!</v>
      </c>
      <c r="O7" s="164" t="str">
        <f>IF(Path=Units!$B$126, 'Default data'!E$31,IF(Path=Units!$B$127,'Default data'!E$32,IF(Path=Units!$B$128,"Pathway not available from LCA tool","Pathway not chosen")))</f>
        <v>Pathway not chosen</v>
      </c>
      <c r="P7" s="164" t="str">
        <f>IF(Path=Units!$B$126, 'Default data'!F$31,IF(Path=Units!$B$127,'Default data'!F$32,IF(Path=Units!$B$128,"Pathway not available from LCA tool","Pathway not chosen")))</f>
        <v>Pathway not chosen</v>
      </c>
      <c r="Q7" s="164" t="str">
        <f>IF(Path=Units!$B$126, 'Default data'!G$31,IF(Path=Units!$B$127,'Default data'!G$32,IF(Path=Units!$B$128,"Pathway not available from LCA tool","Pathway not chosen")))</f>
        <v>Pathway not chosen</v>
      </c>
    </row>
    <row r="8" spans="1:17">
      <c r="B8" s="687"/>
      <c r="C8" s="61" t="s">
        <v>129</v>
      </c>
      <c r="D8" s="313" t="str">
        <f>IF(Initial_questions!E$115="", IF(Initial_questions!E$112="", "User to enter in Initial Qus", Initial_questions!E$112), Initial_questions!E$115)</f>
        <v>User to enter in Initial Qus</v>
      </c>
      <c r="E8" s="678"/>
      <c r="F8" s="681"/>
      <c r="G8" s="60">
        <f>NG_Reforming_CCS!V33</f>
        <v>0</v>
      </c>
      <c r="H8" s="58">
        <f t="shared" ref="H8:H12" si="3">G8*$F$7</f>
        <v>0</v>
      </c>
      <c r="I8" s="678"/>
      <c r="J8" s="678"/>
      <c r="K8" s="59" t="e">
        <f t="shared" ref="K8:K12" si="4">H8*$J$7</f>
        <v>#VALUE!</v>
      </c>
      <c r="L8" s="170" t="str">
        <f>IF(Path=Units!$B$126,'Default data'!$D$47,IF(Path=Units!$B$127,'Default data'!$D$48,IF( Path=Units!$B$128,'Default data'!$D$49,"Pathway not chosen")))</f>
        <v>Pathway not chosen</v>
      </c>
      <c r="M8" s="314" t="e">
        <f>IF(D8="Default",L8,K8)</f>
        <v>#VALUE!</v>
      </c>
      <c r="O8" s="164" t="str">
        <f>IF(Path=Units!$B$126,'Default data'!E$47,IF(Path=Units!$B$127,'Default data'!E$48,IF(Path=Units!$B$128,"Pathway not available from LCA tool","Pathway not chosen")))</f>
        <v>Pathway not chosen</v>
      </c>
      <c r="P8" s="164" t="str">
        <f>IF(Path=Units!$B$126,'Default data'!F$47,IF(Path=Units!$B$127,'Default data'!F$48,IF(Path=Units!$B$128,"Pathway not available from LCA tool","Pathway not chosen")))</f>
        <v>Pathway not chosen</v>
      </c>
      <c r="Q8" s="164" t="str">
        <f>IF(Path=Units!$B$126,'Default data'!G$47,IF(Path=Units!$B$127,'Default data'!G$48,IF(Path=Units!$B$128,"Pathway not available from LCA tool","Pathway not chosen")))</f>
        <v>Pathway not chosen</v>
      </c>
    </row>
    <row r="9" spans="1:17" ht="16.5">
      <c r="B9" s="687"/>
      <c r="C9" s="61" t="s">
        <v>915</v>
      </c>
      <c r="D9" s="61" t="s">
        <v>916</v>
      </c>
      <c r="E9" s="678"/>
      <c r="F9" s="681"/>
      <c r="G9" s="60">
        <f>NG_Reforming_CCS!V45</f>
        <v>0</v>
      </c>
      <c r="H9" s="58">
        <f t="shared" si="3"/>
        <v>0</v>
      </c>
      <c r="I9" s="678"/>
      <c r="J9" s="678"/>
      <c r="K9" s="59" t="e">
        <f t="shared" si="4"/>
        <v>#VALUE!</v>
      </c>
      <c r="L9" s="56" t="s">
        <v>868</v>
      </c>
      <c r="M9" s="314" t="e">
        <f>IF(D9="Default",L9,K9)</f>
        <v>#VALUE!</v>
      </c>
      <c r="O9" s="164" t="str">
        <f>IF(Path=Units!$B$126,'Default data'!E$63,IF(Path=Units!$B$127,'Default data'!E$64,IF(Path=Units!$B$128,"Pathway not available from LCA tool","Pathway not chosen")))</f>
        <v>Pathway not chosen</v>
      </c>
      <c r="P9" s="164" t="str">
        <f>IF(Path=Units!$B$126,'Default data'!F$63,IF(Path=Units!$B$127,'Default data'!F$64,IF(Path=Units!$B$128,"Pathway not available from LCA tool","Pathway not chosen")))</f>
        <v>Pathway not chosen</v>
      </c>
      <c r="Q9" s="164" t="str">
        <f>IF(Path=Units!$B$126,'Default data'!G$63,IF(Path=Units!$B$127,'Default data'!G$64,IF(Path=Units!$B$128,"Pathway not available from LCA tool","Pathway not chosen")))</f>
        <v>Pathway not chosen</v>
      </c>
    </row>
    <row r="10" spans="1:17" ht="16.5">
      <c r="B10" s="687"/>
      <c r="C10" s="93" t="s">
        <v>917</v>
      </c>
      <c r="D10" s="61" t="s">
        <v>916</v>
      </c>
      <c r="E10" s="678"/>
      <c r="F10" s="681"/>
      <c r="G10" s="60">
        <f>NG_Reforming_CCS!V52</f>
        <v>0</v>
      </c>
      <c r="H10" s="58">
        <f t="shared" si="3"/>
        <v>0</v>
      </c>
      <c r="I10" s="678"/>
      <c r="J10" s="678"/>
      <c r="K10" s="59" t="e">
        <f t="shared" si="4"/>
        <v>#VALUE!</v>
      </c>
      <c r="L10" s="56" t="s">
        <v>868</v>
      </c>
      <c r="M10" s="314" t="e">
        <f>IF(D10="Default",L10,K10)</f>
        <v>#VALUE!</v>
      </c>
      <c r="O10" s="164" t="str">
        <f>IF(Path=Units!$B$126,'Default data'!E$79,IF(Path=Units!$B$127,'Default data'!E$80,IF(Path=Units!$B$128,"Pathway not available from LCA tool","Pathway not chosen")))</f>
        <v>Pathway not chosen</v>
      </c>
      <c r="P10" s="164" t="str">
        <f>IF(Path=Units!$B$126,'Default data'!F$79,IF(Path=Units!$B$127,'Default data'!F$80,IF(Path=Units!$B$128,"Pathway not available from LCA tool","Pathway not chosen")))</f>
        <v>Pathway not chosen</v>
      </c>
      <c r="Q10" s="164" t="str">
        <f>IF(Path=Units!$B$126,'Default data'!G$79,IF(Path=Units!$B$127,'Default data'!G$80,IF(Path=Units!$B$128,"Pathway not available from LCA tool","Pathway not chosen")))</f>
        <v>Pathway not chosen</v>
      </c>
    </row>
    <row r="11" spans="1:17" ht="16.5">
      <c r="B11" s="687"/>
      <c r="C11" s="93" t="s">
        <v>918</v>
      </c>
      <c r="D11" s="61" t="s">
        <v>916</v>
      </c>
      <c r="E11" s="678"/>
      <c r="F11" s="681"/>
      <c r="G11" s="60">
        <f>NG_Reforming_CCS!V60</f>
        <v>0</v>
      </c>
      <c r="H11" s="58">
        <f t="shared" si="3"/>
        <v>0</v>
      </c>
      <c r="I11" s="678"/>
      <c r="J11" s="678"/>
      <c r="K11" s="59" t="e">
        <f t="shared" si="4"/>
        <v>#VALUE!</v>
      </c>
      <c r="L11" s="56" t="s">
        <v>868</v>
      </c>
      <c r="M11" s="314" t="e">
        <f t="shared" ref="M11" si="5">IF(D11="Default",L11,K11)</f>
        <v>#VALUE!</v>
      </c>
      <c r="O11" s="164" t="str">
        <f>IF(Path=Units!$B$126,'Default data'!E$95,IF(Path=Units!$B$127,'Default data'!E$96,IF(Path=Units!$B$128,"Pathway not available from LCA tool","Pathway not chosen")))</f>
        <v>Pathway not chosen</v>
      </c>
      <c r="P11" s="164" t="str">
        <f>IF(Path=Units!$B$126,'Default data'!F$95,IF(Path=Units!$B$127,'Default data'!F$96,IF(Path=Units!$B$128,"Pathway not available from LCA tool","Pathway not chosen")))</f>
        <v>Pathway not chosen</v>
      </c>
      <c r="Q11" s="164" t="str">
        <f>IF(Path=Units!$B$126,'Default data'!G$95,IF(Path=Units!$B$127,'Default data'!G$96,IF(Path=Units!$B$128,"Pathway not available from LCA tool","Pathway not chosen")))</f>
        <v>Pathway not chosen</v>
      </c>
    </row>
    <row r="12" spans="1:17" ht="16.5">
      <c r="B12" s="688"/>
      <c r="C12" s="61" t="s">
        <v>919</v>
      </c>
      <c r="D12" s="61" t="s">
        <v>916</v>
      </c>
      <c r="E12" s="679"/>
      <c r="F12" s="682"/>
      <c r="G12" s="60">
        <f>NG_Reforming_CCS!V67</f>
        <v>0</v>
      </c>
      <c r="H12" s="58">
        <f t="shared" si="3"/>
        <v>0</v>
      </c>
      <c r="I12" s="679"/>
      <c r="J12" s="679"/>
      <c r="K12" s="59" t="e">
        <f t="shared" si="4"/>
        <v>#VALUE!</v>
      </c>
      <c r="L12" s="56" t="s">
        <v>868</v>
      </c>
      <c r="M12" s="314" t="e">
        <f>IF(D12="Default",L12,K12)</f>
        <v>#VALUE!</v>
      </c>
      <c r="O12" s="164" t="str">
        <f>IF(Path=Units!$B$126,'Default data'!E$111,IF(Path=Units!$B$127,'Default data'!E$112,IF(Path=Units!$B$128,"Pathway not available from LCA tool","Pathway not chosen")))</f>
        <v>Pathway not chosen</v>
      </c>
      <c r="P12" s="164" t="str">
        <f>IF(Path=Units!$B$126,'Default data'!F$111,IF(Path=Units!$B$127,'Default data'!F$112,IF(Path=Units!$B$128,"Pathway not available from LCA tool","Pathway not chosen")))</f>
        <v>Pathway not chosen</v>
      </c>
      <c r="Q12" s="164" t="str">
        <f>IF(Path=Units!$B$126,'Default data'!G$111,IF(Path=Units!$B$127,'Default data'!G$112,IF(Path=Units!$B$128,"Pathway not available from LCA tool","Pathway not chosen")))</f>
        <v>Pathway not chosen</v>
      </c>
    </row>
    <row r="13" spans="1:17" ht="29">
      <c r="B13" s="61" t="s">
        <v>920</v>
      </c>
      <c r="C13" s="704" t="s">
        <v>921</v>
      </c>
      <c r="D13" s="545" t="s">
        <v>922</v>
      </c>
      <c r="E13" s="28"/>
      <c r="F13" s="28"/>
      <c r="G13" s="28"/>
      <c r="H13" s="28"/>
      <c r="I13" s="28"/>
      <c r="L13" s="522" t="str">
        <f>'Typical data'!$D$331</f>
        <v>Yet to provide pressure or electricity source</v>
      </c>
      <c r="M13" s="521" t="str">
        <f>L13</f>
        <v>Yet to provide pressure or electricity source</v>
      </c>
      <c r="O13" s="164" t="s">
        <v>923</v>
      </c>
      <c r="P13" s="164" t="s">
        <v>923</v>
      </c>
      <c r="Q13" s="164" t="s">
        <v>923</v>
      </c>
    </row>
    <row r="14" spans="1:17" ht="29">
      <c r="B14" s="61" t="s">
        <v>924</v>
      </c>
      <c r="C14" s="705"/>
      <c r="D14" s="545" t="s">
        <v>925</v>
      </c>
      <c r="E14" s="28"/>
      <c r="F14" s="28"/>
      <c r="G14" s="108"/>
      <c r="H14" s="28"/>
      <c r="I14" s="28"/>
      <c r="L14" s="524" t="str">
        <f>'Typical data'!$D$349</f>
        <v>Yet to provide electricity source</v>
      </c>
      <c r="M14" s="521" t="str">
        <f>L14</f>
        <v>Yet to provide electricity source</v>
      </c>
      <c r="O14" s="164" t="s">
        <v>923</v>
      </c>
      <c r="P14" s="164" t="s">
        <v>923</v>
      </c>
      <c r="Q14" s="164" t="s">
        <v>923</v>
      </c>
    </row>
    <row r="15" spans="1:17">
      <c r="B15" s="96"/>
      <c r="C15" s="94"/>
      <c r="D15" s="95"/>
      <c r="E15" s="28"/>
      <c r="F15" s="28"/>
      <c r="G15" s="108"/>
      <c r="H15" s="28"/>
      <c r="I15" s="28"/>
    </row>
    <row r="16" spans="1:17" ht="18.5">
      <c r="B16" s="97" t="s">
        <v>926</v>
      </c>
      <c r="C16" s="98"/>
      <c r="D16" s="98"/>
      <c r="E16" s="99">
        <f>PRODUCT(E3:E14)</f>
        <v>0</v>
      </c>
      <c r="F16" s="100"/>
      <c r="G16" s="100"/>
      <c r="H16" s="100"/>
      <c r="I16" s="101"/>
      <c r="J16" s="114"/>
      <c r="K16" s="101"/>
      <c r="L16" s="101"/>
      <c r="M16" s="102" t="str">
        <f>IF(COUNTIF(M3:M14,"*")&gt;0,"Pathway not chosen",SUM(M3:M14))</f>
        <v>Pathway not chosen</v>
      </c>
      <c r="O16" s="164" t="str">
        <f>IF(Path=Units!$B$127,'Default data'!E$144,IF(Path=Units!$B$126,'Default data'!E$143,IF(Path=Units!$B$128,"Pathway data not available from LCA tool","Pathway not chosen")))</f>
        <v>Pathway not chosen</v>
      </c>
      <c r="P16" s="164" t="str">
        <f>IF(Path=Units!$B$127,'Default data'!F$144,IF(Path=Units!$B$126,'Default data'!F$143,IF(Path=Units!$B$128,"Pathway data not available from LCA tool","Pathway not chosen")))</f>
        <v>Pathway not chosen</v>
      </c>
      <c r="Q16" s="164" t="str">
        <f>IF(Path=Units!$B$127,'Default data'!G$144,IF(Path=Units!$B$126,'Default data'!G$143,IF(Path=Units!$B$128,"Pathway data not available from LCA tool","Pathway not chosen")))</f>
        <v>Pathway not chosen</v>
      </c>
    </row>
    <row r="17" spans="2:17" ht="18.5">
      <c r="B17" s="97" t="s">
        <v>927</v>
      </c>
      <c r="C17" s="98"/>
      <c r="D17" s="98"/>
      <c r="E17" s="101"/>
      <c r="F17" s="101"/>
      <c r="G17" s="101"/>
      <c r="H17" s="101"/>
      <c r="I17" s="101"/>
      <c r="J17" s="101"/>
      <c r="K17" s="101"/>
      <c r="L17" s="101"/>
      <c r="M17" s="103">
        <v>20</v>
      </c>
      <c r="O17" s="700" t="s">
        <v>944</v>
      </c>
      <c r="P17" s="700"/>
      <c r="Q17" s="700"/>
    </row>
    <row r="18" spans="2:17" ht="14.5" customHeight="1">
      <c r="O18" s="700"/>
      <c r="P18" s="700"/>
      <c r="Q18" s="700"/>
    </row>
    <row r="19" spans="2:17">
      <c r="O19" s="700"/>
      <c r="P19" s="700"/>
      <c r="Q19" s="700"/>
    </row>
    <row r="22" spans="2:17">
      <c r="O22" s="275"/>
    </row>
  </sheetData>
  <customSheetViews>
    <customSheetView guid="{2D920366-22B2-4182-A65D-0EDBE614FB37}" showGridLines="0">
      <pane xSplit="3" topLeftCell="D1" activePane="topRight" state="frozen"/>
      <selection pane="topRight"/>
      <pageMargins left="0" right="0" top="0" bottom="0" header="0" footer="0"/>
      <pageSetup paperSize="9" orientation="portrait" r:id="rId1"/>
    </customSheetView>
    <customSheetView guid="{F468A2FD-7987-4A9D-8BAE-1AACE523607F}" showGridLines="0" state="hidden">
      <pane xSplit="3" topLeftCell="D1" activePane="topRight" state="frozen"/>
      <selection pane="topRight"/>
      <pageMargins left="0" right="0" top="0" bottom="0" header="0" footer="0"/>
      <pageSetup paperSize="9" orientation="portrait" r:id="rId2"/>
    </customSheetView>
    <customSheetView guid="{D97B1299-69D0-4EE0-B673-CCF74742F96B}" state="hidden">
      <selection activeCell="D2" sqref="D2"/>
      <pageMargins left="0" right="0" top="0" bottom="0" header="0" footer="0"/>
      <pageSetup paperSize="9" orientation="portrait" r:id="rId3"/>
    </customSheetView>
    <customSheetView guid="{3F0A4FBA-5323-448F-A023-B3E14C54064C}" showGridLines="0" state="hidden">
      <pane xSplit="3" topLeftCell="D1" activePane="topRight" state="frozen"/>
      <selection pane="topRight" activeCell="D2" sqref="D2"/>
      <pageMargins left="0" right="0" top="0" bottom="0" header="0" footer="0"/>
      <pageSetup paperSize="9" orientation="portrait" r:id="rId4"/>
    </customSheetView>
    <customSheetView guid="{E6EFD927-84B2-4D06-BB59-59D9DF522DA2}" showGridLines="0" state="hidden">
      <pane xSplit="3" topLeftCell="D1" activePane="topRight" state="frozen"/>
      <selection pane="topRight"/>
      <pageMargins left="0" right="0" top="0" bottom="0" header="0" footer="0"/>
      <pageSetup paperSize="9" orientation="portrait" r:id="rId5"/>
    </customSheetView>
    <customSheetView guid="{0E935136-9A80-44B6-88D5-61E64D742049}" showGridLines="0" state="hidden">
      <pane xSplit="3" topLeftCell="D1" activePane="topRight" state="frozen"/>
      <selection pane="topRight"/>
      <pageMargins left="0" right="0" top="0" bottom="0" header="0" footer="0"/>
      <pageSetup paperSize="9" orientation="portrait" r:id="rId6"/>
    </customSheetView>
    <customSheetView guid="{1C16EB38-F785-4168-9938-104594734038}" showGridLines="0" state="hidden">
      <pane xSplit="3" topLeftCell="D1" activePane="topRight" state="frozen"/>
      <selection pane="topRight"/>
      <pageMargins left="0" right="0" top="0" bottom="0" header="0" footer="0"/>
      <pageSetup paperSize="9" orientation="portrait" r:id="rId7"/>
    </customSheetView>
    <customSheetView guid="{EECBF9DF-6D77-4263-85DA-71E40216BADD}" showGridLines="0">
      <pane xSplit="3" topLeftCell="D1" activePane="topRight" state="frozen"/>
      <selection pane="topRight"/>
      <pageMargins left="0" right="0" top="0" bottom="0" header="0" footer="0"/>
      <pageSetup paperSize="9" orientation="portrait" r:id="rId8"/>
    </customSheetView>
    <customSheetView guid="{F03309BC-D3FA-4CF2-833B-D6D9A95FE1FB}" showGridLines="0" state="hidden">
      <pane xSplit="3" topLeftCell="D1" activePane="topRight" state="frozen"/>
      <selection pane="topRight" activeCell="D2" sqref="D2"/>
      <pageMargins left="0" right="0" top="0" bottom="0" header="0" footer="0"/>
      <pageSetup paperSize="9" orientation="portrait" r:id="rId9"/>
    </customSheetView>
  </customSheetViews>
  <mergeCells count="14">
    <mergeCell ref="O17:Q19"/>
    <mergeCell ref="O3:O6"/>
    <mergeCell ref="P3:P6"/>
    <mergeCell ref="Q3:Q6"/>
    <mergeCell ref="C13:C14"/>
    <mergeCell ref="D3:D6"/>
    <mergeCell ref="L3:L6"/>
    <mergeCell ref="C3:C6"/>
    <mergeCell ref="M3:M6"/>
    <mergeCell ref="B7:B12"/>
    <mergeCell ref="E7:E12"/>
    <mergeCell ref="F7:F12"/>
    <mergeCell ref="I7:I12"/>
    <mergeCell ref="J7:J12"/>
  </mergeCells>
  <pageMargins left="0" right="0" top="0" bottom="0" header="0" footer="0"/>
  <pageSetup paperSize="9" orientation="portrait" r:id="rId10"/>
  <extLst>
    <ext xmlns:x14="http://schemas.microsoft.com/office/spreadsheetml/2009/9/main" uri="{78C0D931-6437-407d-A8EE-F0AAD7539E65}">
      <x14:conditionalFormattings>
        <x14:conditionalFormatting xmlns:xm="http://schemas.microsoft.com/office/excel/2006/main">
          <x14:cfRule type="expression" priority="16" id="{101C228E-28D6-40F5-A9C6-340668E1EB47}">
            <xm:f>AND(Path&lt;&gt;Units!$B$126, Path&lt;&gt;Units!$B$127,Path&lt;&gt;Units!$B$128,Master_Switch="On")</xm:f>
            <x14:dxf>
              <font>
                <color theme="0"/>
              </font>
              <fill>
                <patternFill>
                  <bgColor theme="0"/>
                </patternFill>
              </fill>
              <border>
                <left/>
                <right/>
                <top/>
                <bottom/>
              </border>
            </x14:dxf>
          </x14:cfRule>
          <xm:sqref>A2:XFD100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D1609-E444-4096-8396-5D93F555EE58}">
  <sheetPr codeName="Sheet52">
    <tabColor rgb="FFFF66CC"/>
  </sheetPr>
  <dimension ref="A1:O24"/>
  <sheetViews>
    <sheetView showGridLines="0" zoomScaleNormal="100" workbookViewId="0">
      <pane xSplit="3" topLeftCell="D1" activePane="topRight" state="frozen"/>
      <selection pane="topRight"/>
    </sheetView>
  </sheetViews>
  <sheetFormatPr defaultColWidth="8.81640625" defaultRowHeight="14.5"/>
  <cols>
    <col min="1" max="1" width="4.54296875" customWidth="1"/>
    <col min="2" max="2" width="32.453125" customWidth="1"/>
    <col min="3" max="3" width="30.54296875" customWidth="1"/>
    <col min="4" max="4" width="29.54296875" customWidth="1"/>
    <col min="5" max="5" width="15.81640625" customWidth="1"/>
    <col min="6" max="6" width="31.81640625" customWidth="1"/>
    <col min="7" max="7" width="28.54296875" customWidth="1"/>
    <col min="8" max="8" width="30.453125" customWidth="1"/>
    <col min="9" max="10" width="26.81640625" customWidth="1"/>
    <col min="11" max="11" width="35.1796875" customWidth="1"/>
    <col min="12" max="12" width="20.81640625" customWidth="1"/>
    <col min="13" max="13" width="29" customWidth="1"/>
    <col min="15" max="15" width="30.1796875" customWidth="1"/>
    <col min="16" max="16" width="28.81640625" customWidth="1"/>
    <col min="17" max="17" width="28.54296875" customWidth="1"/>
  </cols>
  <sheetData>
    <row r="1" spans="1:13" ht="31">
      <c r="A1" s="80" t="str">
        <f>IF(AND(Path&lt;&gt;Units!$B$130,Master_Switch="On"),"User should not use this worksheet, but switch to a non-blank GHG summary worksheet","")</f>
        <v>User should not use this worksheet, but switch to a non-blank GHG summary worksheet</v>
      </c>
      <c r="J1" s="571"/>
    </row>
    <row r="2" spans="1:13" ht="84.65" customHeight="1">
      <c r="B2" s="106" t="s">
        <v>900</v>
      </c>
      <c r="C2" s="106" t="s">
        <v>901</v>
      </c>
      <c r="D2" s="106" t="s">
        <v>902</v>
      </c>
      <c r="E2" s="106" t="s">
        <v>903</v>
      </c>
      <c r="F2" s="106" t="s">
        <v>904</v>
      </c>
      <c r="G2" s="106" t="s">
        <v>905</v>
      </c>
      <c r="H2" s="106" t="s">
        <v>906</v>
      </c>
      <c r="I2" s="106" t="s">
        <v>907</v>
      </c>
      <c r="J2" s="106" t="s">
        <v>908</v>
      </c>
      <c r="K2" s="106" t="s">
        <v>909</v>
      </c>
      <c r="L2" s="106" t="s">
        <v>910</v>
      </c>
      <c r="M2" s="106" t="s">
        <v>911</v>
      </c>
    </row>
    <row r="3" spans="1:13">
      <c r="B3" s="61" t="str">
        <f>IF(Initial_questions!$E$27=Units!$L$122, "ROG Counterfactual", "")</f>
        <v/>
      </c>
      <c r="C3" s="93" t="str">
        <f>IF(Initial_questions!$E$27=Units!$L$122, "Fossil counterfactual","")</f>
        <v/>
      </c>
      <c r="D3" s="93" t="str">
        <f>IF(Initial_questions!$E$27=Units!$L$122, "Must be projected","")</f>
        <v/>
      </c>
      <c r="E3" s="565" t="str">
        <f>IF(Initial_questions!$E$27=Units!$L$122, "NA","")</f>
        <v/>
      </c>
      <c r="F3" s="170" t="str">
        <f>IF(Initial_questions!$E$27=Units!$L$122,F7,"")</f>
        <v/>
      </c>
      <c r="G3" s="60" t="str">
        <f>IF(Initial_questions!$E$27=Units!$L$122,ROG_Counterfactual!$C$8*ROG_Counterfactual!$C$9-ROG_Counterfactual!$C$10,"")</f>
        <v/>
      </c>
      <c r="H3" s="58" t="str">
        <f>IF(Initial_questions!$E$27=Units!$L$122, G3*F3,"")</f>
        <v/>
      </c>
      <c r="I3" s="315" t="str">
        <f>IF(Initial_questions!$E$27=Units!$L$122, 100%,"")</f>
        <v/>
      </c>
      <c r="J3" s="315" t="str">
        <f>IF(Initial_questions!$E$27=Units!$L$122, J7*I3,"")</f>
        <v/>
      </c>
      <c r="K3" s="59">
        <f>IF(Initial_questions!$E$27=Units!$L$122, H3*J3, 0)</f>
        <v>0</v>
      </c>
      <c r="L3" s="56" t="s">
        <v>868</v>
      </c>
      <c r="M3" s="314">
        <f>IF(D3="Default",L3,K3)</f>
        <v>0</v>
      </c>
    </row>
    <row r="4" spans="1:13">
      <c r="B4" s="61" t="str">
        <f>IF(Initial_questions!$E$27=Units!$L$124,"Crude Collection","")</f>
        <v/>
      </c>
      <c r="C4" s="714" t="s">
        <v>942</v>
      </c>
      <c r="D4" s="686" t="s">
        <v>916</v>
      </c>
      <c r="E4" s="565" t="str">
        <f>IF(Initial_questions!$E$27=Units!$L$124,Crude_Collection!O20,"")</f>
        <v/>
      </c>
      <c r="F4" s="170" t="str">
        <f>IF(Initial_questions!$E$27=Units!$L$124,F5,"")</f>
        <v/>
      </c>
      <c r="G4" s="60" t="str">
        <f>IF(Initial_questions!$E$27=Units!$L$124,Crude_Collection!V34,"")</f>
        <v/>
      </c>
      <c r="H4" s="58" t="str">
        <f>IF(Initial_questions!$E$27=Units!$L$124,G4*F4,"")</f>
        <v/>
      </c>
      <c r="I4" s="315" t="str">
        <f>IF(Initial_questions!$E$27=Units!$L$124,Crude_Collection!R20,"")</f>
        <v/>
      </c>
      <c r="J4" s="595" t="str">
        <f>IF(Initial_questions!$E$27=Units!$L$124,J5*I4,"")</f>
        <v/>
      </c>
      <c r="K4" s="59" t="str">
        <f>IF(Initial_questions!$E$27=Units!$L$124,H4*J4,"")</f>
        <v/>
      </c>
      <c r="L4" s="717" t="str">
        <f>IF(Path=Units!$B$130,'Default data'!$D$18,"Pathway not chosen")</f>
        <v>Pathway not chosen</v>
      </c>
      <c r="M4" s="711" t="e">
        <f>IF(D4="Default",L4,SUM(K4:K8))</f>
        <v>#VALUE!</v>
      </c>
    </row>
    <row r="5" spans="1:13">
      <c r="B5" s="61" t="str">
        <f>IF(Initial_questions!$E$27=Units!$L$124,"Crude Transport","")</f>
        <v/>
      </c>
      <c r="C5" s="715"/>
      <c r="D5" s="687"/>
      <c r="E5" s="57" t="str">
        <f>IF(Initial_questions!$E$27=Units!$L$124,Crude_Transport!O20,"")</f>
        <v/>
      </c>
      <c r="F5" s="170" t="str">
        <f>IF(Initial_questions!$E$27=Units!$L$124,F6/E6,"")</f>
        <v/>
      </c>
      <c r="G5" s="60" t="str">
        <f>IF(Initial_questions!$E$27=Units!$L$124,Crude_Transport!V33,"")</f>
        <v/>
      </c>
      <c r="H5" s="58" t="str">
        <f>IF(Initial_questions!$E$27=Units!$L$124,G5*F5,"")</f>
        <v/>
      </c>
      <c r="I5" s="315" t="str">
        <f>IF(Initial_questions!$E$27=Units!$L$124,Crude_Transport!R20,"")</f>
        <v/>
      </c>
      <c r="J5" s="595" t="str">
        <f>IF(Initial_questions!$E$27=Units!$L$124,J6*I5,"")</f>
        <v/>
      </c>
      <c r="K5" s="59" t="str">
        <f>IF(Initial_questions!$E$27=Units!$L$124,H5*J5,"")</f>
        <v/>
      </c>
      <c r="L5" s="718"/>
      <c r="M5" s="712"/>
    </row>
    <row r="6" spans="1:13">
      <c r="B6" s="61" t="str">
        <f>IF(Initial_questions!$E$27=Units!$L$124,"Crude Refine","")</f>
        <v/>
      </c>
      <c r="C6" s="715"/>
      <c r="D6" s="687"/>
      <c r="E6" s="57" t="str">
        <f>IF(Initial_questions!$E$27=Units!$L$124,Crude_Refine!O20,"")</f>
        <v/>
      </c>
      <c r="F6" s="170" t="str">
        <f>IF(Initial_questions!$E$27=Units!$L$124,F7/E7,"")</f>
        <v/>
      </c>
      <c r="G6" s="60" t="str">
        <f>IF(Initial_questions!$E$27=Units!$L$124,Crude_Refine!V42,"")</f>
        <v/>
      </c>
      <c r="H6" s="58" t="str">
        <f>IF(Initial_questions!$E$27=Units!$L$124,G6*F6,"")</f>
        <v/>
      </c>
      <c r="I6" s="315" t="str">
        <f>IF(Initial_questions!$E$27=Units!$L$124,Crude_Refine!R20,"")</f>
        <v/>
      </c>
      <c r="J6" s="595" t="str">
        <f>IF(Initial_questions!$E$27=Units!$L$124,J7*I6,"")</f>
        <v/>
      </c>
      <c r="K6" s="59" t="str">
        <f>IF(Initial_questions!$E$27=Units!$L$124,H6*J6,"")</f>
        <v/>
      </c>
      <c r="L6" s="718"/>
      <c r="M6" s="712"/>
    </row>
    <row r="7" spans="1:13">
      <c r="B7" s="61" t="s">
        <v>67</v>
      </c>
      <c r="C7" s="715"/>
      <c r="D7" s="687"/>
      <c r="E7" s="57" t="str">
        <f>ROG_Processing!O20</f>
        <v/>
      </c>
      <c r="F7" s="170" t="e">
        <f>F8/E8</f>
        <v>#VALUE!</v>
      </c>
      <c r="G7" s="60">
        <f>ROG_Processing!V34</f>
        <v>0</v>
      </c>
      <c r="H7" s="58" t="e">
        <f>F7*G7</f>
        <v>#VALUE!</v>
      </c>
      <c r="I7" s="57" t="str">
        <f>ROG_Processing!R20</f>
        <v/>
      </c>
      <c r="J7" s="315" t="e">
        <f>J8*I7</f>
        <v>#VALUE!</v>
      </c>
      <c r="K7" s="59" t="e">
        <f t="shared" ref="K7" si="0">H7*J7</f>
        <v>#VALUE!</v>
      </c>
      <c r="L7" s="718"/>
      <c r="M7" s="712"/>
    </row>
    <row r="8" spans="1:13">
      <c r="B8" s="61" t="s">
        <v>68</v>
      </c>
      <c r="C8" s="716"/>
      <c r="D8" s="688"/>
      <c r="E8" s="57" t="str">
        <f>ROG_Transport!O20</f>
        <v/>
      </c>
      <c r="F8" s="170" t="e">
        <f>F9/E9</f>
        <v>#VALUE!</v>
      </c>
      <c r="G8" s="60">
        <f>ROG_Transport!V33</f>
        <v>0</v>
      </c>
      <c r="H8" s="58" t="e">
        <f>F8*G8</f>
        <v>#VALUE!</v>
      </c>
      <c r="I8" s="57" t="str">
        <f>ROG_Transport!R20</f>
        <v/>
      </c>
      <c r="J8" s="315" t="e">
        <f>J9*I8</f>
        <v>#VALUE!</v>
      </c>
      <c r="K8" s="59" t="e">
        <f>H8*J8</f>
        <v>#VALUE!</v>
      </c>
      <c r="L8" s="719"/>
      <c r="M8" s="713"/>
    </row>
    <row r="9" spans="1:13">
      <c r="B9" s="686" t="s">
        <v>69</v>
      </c>
      <c r="C9" s="61" t="s">
        <v>128</v>
      </c>
      <c r="D9" s="313" t="str">
        <f>IF(Initial_questions!E$114="", IF(Initial_questions!E$112="", "User to enter in Initial Qus", Initial_questions!E$112), Initial_questions!E$114)</f>
        <v>User to enter in Initial Qus</v>
      </c>
      <c r="E9" s="677" t="str">
        <f>ROG_Reforming_CCS!O9</f>
        <v/>
      </c>
      <c r="F9" s="680">
        <v>1</v>
      </c>
      <c r="G9" s="60">
        <f>ROG_Reforming_CCS!V20</f>
        <v>0</v>
      </c>
      <c r="H9" s="58">
        <f>G9*$F$9</f>
        <v>0</v>
      </c>
      <c r="I9" s="677" t="str">
        <f>ROG_Reforming_CCS!R9</f>
        <v/>
      </c>
      <c r="J9" s="720" t="str">
        <f>I9</f>
        <v/>
      </c>
      <c r="K9" s="59" t="e">
        <f>H9*$J$9</f>
        <v>#VALUE!</v>
      </c>
      <c r="L9" s="170" t="str">
        <f>IF(Path=Units!$B$130,'Default data'!$D$34,"Pathway not chosen")</f>
        <v>Pathway not chosen</v>
      </c>
      <c r="M9" s="314" t="e">
        <f>IF(D9="Default",L9,K9)</f>
        <v>#VALUE!</v>
      </c>
    </row>
    <row r="10" spans="1:13">
      <c r="B10" s="687"/>
      <c r="C10" s="61" t="s">
        <v>129</v>
      </c>
      <c r="D10" s="313" t="str">
        <f>IF(Initial_questions!E$115="", IF(Initial_questions!E$112="", "User to enter in Initial Qus", Initial_questions!E$112), Initial_questions!E$115)</f>
        <v>User to enter in Initial Qus</v>
      </c>
      <c r="E10" s="678"/>
      <c r="F10" s="681"/>
      <c r="G10" s="60">
        <f>ROG_Reforming_CCS!V33</f>
        <v>0</v>
      </c>
      <c r="H10" s="58">
        <f t="shared" ref="H10:H14" si="1">G10*$F$9</f>
        <v>0</v>
      </c>
      <c r="I10" s="678"/>
      <c r="J10" s="721"/>
      <c r="K10" s="59" t="e">
        <f t="shared" ref="K10:K14" si="2">H10*$J$9</f>
        <v>#VALUE!</v>
      </c>
      <c r="L10" s="170" t="str">
        <f>IF(Path=Units!$B$130,'Default data'!$D$50,"Pathway not chosen")</f>
        <v>Pathway not chosen</v>
      </c>
      <c r="M10" s="314" t="e">
        <f>IF(D10="Default",L10,K10)</f>
        <v>#VALUE!</v>
      </c>
    </row>
    <row r="11" spans="1:13" ht="16.5">
      <c r="B11" s="687"/>
      <c r="C11" s="61" t="s">
        <v>915</v>
      </c>
      <c r="D11" s="61" t="s">
        <v>916</v>
      </c>
      <c r="E11" s="678"/>
      <c r="F11" s="681"/>
      <c r="G11" s="60">
        <f>ROG_Reforming_CCS!V45</f>
        <v>0</v>
      </c>
      <c r="H11" s="58">
        <f t="shared" si="1"/>
        <v>0</v>
      </c>
      <c r="I11" s="678"/>
      <c r="J11" s="721"/>
      <c r="K11" s="59" t="e">
        <f t="shared" si="2"/>
        <v>#VALUE!</v>
      </c>
      <c r="L11" s="56" t="s">
        <v>868</v>
      </c>
      <c r="M11" s="314" t="e">
        <f>IF(D11="Default",L11,K11)</f>
        <v>#VALUE!</v>
      </c>
    </row>
    <row r="12" spans="1:13" ht="16.5">
      <c r="B12" s="687"/>
      <c r="C12" s="93" t="s">
        <v>917</v>
      </c>
      <c r="D12" s="61" t="s">
        <v>916</v>
      </c>
      <c r="E12" s="678"/>
      <c r="F12" s="681"/>
      <c r="G12" s="60">
        <f>ROG_Reforming_CCS!V52</f>
        <v>0</v>
      </c>
      <c r="H12" s="58">
        <f t="shared" si="1"/>
        <v>0</v>
      </c>
      <c r="I12" s="678"/>
      <c r="J12" s="721"/>
      <c r="K12" s="59" t="e">
        <f t="shared" si="2"/>
        <v>#VALUE!</v>
      </c>
      <c r="L12" s="56" t="s">
        <v>868</v>
      </c>
      <c r="M12" s="314" t="e">
        <f>IF(D12="Default",L12,K12)</f>
        <v>#VALUE!</v>
      </c>
    </row>
    <row r="13" spans="1:13" ht="16.5">
      <c r="B13" s="687"/>
      <c r="C13" s="93" t="s">
        <v>918</v>
      </c>
      <c r="D13" s="61" t="s">
        <v>916</v>
      </c>
      <c r="E13" s="678"/>
      <c r="F13" s="681"/>
      <c r="G13" s="60">
        <f>ROG_Reforming_CCS!V60</f>
        <v>0</v>
      </c>
      <c r="H13" s="58">
        <f t="shared" si="1"/>
        <v>0</v>
      </c>
      <c r="I13" s="678"/>
      <c r="J13" s="721"/>
      <c r="K13" s="59" t="e">
        <f t="shared" si="2"/>
        <v>#VALUE!</v>
      </c>
      <c r="L13" s="56" t="s">
        <v>868</v>
      </c>
      <c r="M13" s="314" t="e">
        <f t="shared" ref="M13" si="3">IF(D13="Default",L13,K13)</f>
        <v>#VALUE!</v>
      </c>
    </row>
    <row r="14" spans="1:13" ht="16.5">
      <c r="B14" s="688"/>
      <c r="C14" s="61" t="s">
        <v>919</v>
      </c>
      <c r="D14" s="61" t="s">
        <v>916</v>
      </c>
      <c r="E14" s="679"/>
      <c r="F14" s="682"/>
      <c r="G14" s="60">
        <f>ROG_Reforming_CCS!V67</f>
        <v>0</v>
      </c>
      <c r="H14" s="58">
        <f t="shared" si="1"/>
        <v>0</v>
      </c>
      <c r="I14" s="679"/>
      <c r="J14" s="722"/>
      <c r="K14" s="59" t="e">
        <f t="shared" si="2"/>
        <v>#VALUE!</v>
      </c>
      <c r="L14" s="56" t="s">
        <v>868</v>
      </c>
      <c r="M14" s="314" t="e">
        <f>IF(D14="Default",L14,K14)</f>
        <v>#VALUE!</v>
      </c>
    </row>
    <row r="15" spans="1:13" ht="29">
      <c r="B15" s="61" t="s">
        <v>920</v>
      </c>
      <c r="C15" s="704" t="s">
        <v>921</v>
      </c>
      <c r="D15" s="545" t="s">
        <v>922</v>
      </c>
      <c r="E15" s="28"/>
      <c r="F15" s="28"/>
      <c r="G15" s="28"/>
      <c r="H15" s="28"/>
      <c r="I15" s="28"/>
      <c r="L15" s="522" t="str">
        <f>'Typical data'!$D$331</f>
        <v>Yet to provide pressure or electricity source</v>
      </c>
      <c r="M15" s="521" t="str">
        <f>L15</f>
        <v>Yet to provide pressure or electricity source</v>
      </c>
    </row>
    <row r="16" spans="1:13" ht="29">
      <c r="B16" s="61" t="s">
        <v>924</v>
      </c>
      <c r="C16" s="705"/>
      <c r="D16" s="545" t="s">
        <v>925</v>
      </c>
      <c r="E16" s="28"/>
      <c r="F16" s="28"/>
      <c r="G16" s="108"/>
      <c r="H16" s="28"/>
      <c r="I16" s="28"/>
      <c r="L16" s="524" t="str">
        <f>'Typical data'!$D$349</f>
        <v>Yet to provide electricity source</v>
      </c>
      <c r="M16" s="521" t="str">
        <f>L16</f>
        <v>Yet to provide electricity source</v>
      </c>
    </row>
    <row r="17" spans="2:15">
      <c r="B17" s="96"/>
      <c r="C17" s="94"/>
      <c r="D17" s="95"/>
      <c r="E17" s="28"/>
      <c r="F17" s="28"/>
      <c r="G17" s="108"/>
      <c r="H17" s="28"/>
      <c r="I17" s="28"/>
    </row>
    <row r="18" spans="2:15" ht="18.5">
      <c r="B18" s="97" t="s">
        <v>926</v>
      </c>
      <c r="C18" s="98"/>
      <c r="D18" s="98"/>
      <c r="E18" s="99">
        <f>PRODUCT(E3:E16)</f>
        <v>0</v>
      </c>
      <c r="F18" s="100"/>
      <c r="G18" s="100"/>
      <c r="H18" s="100"/>
      <c r="I18" s="101"/>
      <c r="J18" s="114"/>
      <c r="K18" s="101"/>
      <c r="L18" s="101"/>
      <c r="M18" s="102" t="str">
        <f>IF(COUNTIF(M3:M16,"*")&gt;0,"Pathway not chosen",SUM(M3:M16))</f>
        <v>Pathway not chosen</v>
      </c>
    </row>
    <row r="19" spans="2:15" ht="18.5">
      <c r="B19" s="97" t="s">
        <v>927</v>
      </c>
      <c r="C19" s="98"/>
      <c r="D19" s="98"/>
      <c r="E19" s="101"/>
      <c r="F19" s="101"/>
      <c r="G19" s="101"/>
      <c r="H19" s="101"/>
      <c r="I19" s="101"/>
      <c r="J19" s="101"/>
      <c r="K19" s="101"/>
      <c r="L19" s="101"/>
      <c r="M19" s="103">
        <v>20</v>
      </c>
    </row>
    <row r="20" spans="2:15" ht="14.5" customHeight="1"/>
    <row r="24" spans="2:15">
      <c r="O24" s="275"/>
    </row>
  </sheetData>
  <customSheetViews>
    <customSheetView guid="{2D920366-22B2-4182-A65D-0EDBE614FB37}" showGridLines="0">
      <pane xSplit="3" topLeftCell="D1" activePane="topRight" state="frozen"/>
      <selection pane="topRight"/>
      <pageMargins left="0" right="0" top="0" bottom="0" header="0" footer="0"/>
      <pageSetup paperSize="9" orientation="portrait" r:id="rId1"/>
    </customSheetView>
    <customSheetView guid="{F468A2FD-7987-4A9D-8BAE-1AACE523607F}" state="hidden">
      <selection activeCell="D2" sqref="D2"/>
      <pageMargins left="0" right="0" top="0" bottom="0" header="0" footer="0"/>
      <pageSetup paperSize="9" orientation="portrait" r:id="rId2"/>
    </customSheetView>
    <customSheetView guid="{D97B1299-69D0-4EE0-B673-CCF74742F96B}">
      <selection activeCell="D2" sqref="D2"/>
      <pageMargins left="0" right="0" top="0" bottom="0" header="0" footer="0"/>
      <pageSetup paperSize="9" orientation="portrait" r:id="rId3"/>
    </customSheetView>
    <customSheetView guid="{3F0A4FBA-5323-448F-A023-B3E14C54064C}" state="hidden">
      <pageMargins left="0" right="0" top="0" bottom="0" header="0" footer="0"/>
      <pageSetup paperSize="9" orientation="portrait" r:id="rId4"/>
    </customSheetView>
    <customSheetView guid="{E6EFD927-84B2-4D06-BB59-59D9DF522DA2}" state="hidden">
      <pageMargins left="0" right="0" top="0" bottom="0" header="0" footer="0"/>
      <pageSetup paperSize="9" orientation="portrait" r:id="rId5"/>
    </customSheetView>
    <customSheetView guid="{0E935136-9A80-44B6-88D5-61E64D742049}" showGridLines="0" state="hidden">
      <pane xSplit="3" topLeftCell="D1" activePane="topRight" state="frozen"/>
      <selection pane="topRight"/>
      <pageMargins left="0" right="0" top="0" bottom="0" header="0" footer="0"/>
      <pageSetup paperSize="9" orientation="portrait" r:id="rId6"/>
    </customSheetView>
    <customSheetView guid="{1C16EB38-F785-4168-9938-104594734038}" showGridLines="0" state="hidden">
      <pane xSplit="3" topLeftCell="D1" activePane="topRight" state="frozen"/>
      <selection pane="topRight"/>
      <pageMargins left="0" right="0" top="0" bottom="0" header="0" footer="0"/>
      <pageSetup paperSize="9" orientation="portrait" r:id="rId7"/>
    </customSheetView>
    <customSheetView guid="{EECBF9DF-6D77-4263-85DA-71E40216BADD}" state="hidden">
      <pageMargins left="0" right="0" top="0" bottom="0" header="0" footer="0"/>
      <pageSetup paperSize="9" orientation="portrait" r:id="rId8"/>
    </customSheetView>
    <customSheetView guid="{F03309BC-D3FA-4CF2-833B-D6D9A95FE1FB}" state="hidden">
      <selection activeCell="D2" sqref="D2"/>
      <pageMargins left="0" right="0" top="0" bottom="0" header="0" footer="0"/>
      <pageSetup paperSize="9" orientation="portrait" r:id="rId9"/>
    </customSheetView>
  </customSheetViews>
  <mergeCells count="10">
    <mergeCell ref="C4:C8"/>
    <mergeCell ref="L4:L8"/>
    <mergeCell ref="M4:M8"/>
    <mergeCell ref="C15:C16"/>
    <mergeCell ref="B9:B14"/>
    <mergeCell ref="E9:E14"/>
    <mergeCell ref="F9:F14"/>
    <mergeCell ref="I9:I14"/>
    <mergeCell ref="J9:J14"/>
    <mergeCell ref="D4:D8"/>
  </mergeCells>
  <pageMargins left="0" right="0" top="0" bottom="0" header="0" footer="0"/>
  <pageSetup paperSize="9" orientation="portrait" r:id="rId10"/>
  <extLst>
    <ext xmlns:x14="http://schemas.microsoft.com/office/spreadsheetml/2009/9/main" uri="{78C0D931-6437-407d-A8EE-F0AAD7539E65}">
      <x14:conditionalFormattings>
        <x14:conditionalFormatting xmlns:xm="http://schemas.microsoft.com/office/excel/2006/main">
          <x14:cfRule type="expression" priority="1" id="{93F4093E-7049-47C0-832E-B8BB0C644586}">
            <xm:f>AND(Path&lt;&gt;Units!$B$130,Master_Switch="On")</xm:f>
            <x14:dxf>
              <font>
                <color theme="0"/>
              </font>
              <fill>
                <patternFill>
                  <bgColor theme="0"/>
                </patternFill>
              </fill>
              <border>
                <left/>
                <right/>
                <top/>
                <bottom/>
                <vertical/>
                <horizontal/>
              </border>
            </x14:dxf>
          </x14:cfRule>
          <xm:sqref>A2:XFD200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7AFC8-53E2-4B42-A33E-59194336E804}">
  <sheetPr codeName="Sheet53">
    <tabColor rgb="FFFF66CC"/>
  </sheetPr>
  <dimension ref="A1:O24"/>
  <sheetViews>
    <sheetView showGridLines="0" zoomScaleNormal="100" workbookViewId="0">
      <pane xSplit="3" topLeftCell="D1" activePane="topRight" state="frozen"/>
      <selection pane="topRight"/>
    </sheetView>
  </sheetViews>
  <sheetFormatPr defaultColWidth="8.81640625" defaultRowHeight="14.5"/>
  <cols>
    <col min="1" max="1" width="4.54296875" customWidth="1"/>
    <col min="2" max="2" width="32.453125" customWidth="1"/>
    <col min="3" max="3" width="30.54296875" customWidth="1"/>
    <col min="4" max="4" width="29.54296875" customWidth="1"/>
    <col min="5" max="5" width="15.81640625" customWidth="1"/>
    <col min="6" max="6" width="31.81640625" customWidth="1"/>
    <col min="7" max="7" width="28.54296875" customWidth="1"/>
    <col min="8" max="8" width="30.453125" customWidth="1"/>
    <col min="9" max="10" width="26.81640625" customWidth="1"/>
    <col min="11" max="11" width="35.1796875" customWidth="1"/>
    <col min="12" max="12" width="20.81640625" customWidth="1"/>
    <col min="13" max="13" width="29" customWidth="1"/>
    <col min="15" max="15" width="30.1796875" customWidth="1"/>
    <col min="16" max="16" width="28.81640625" customWidth="1"/>
    <col min="17" max="17" width="28.54296875" customWidth="1"/>
  </cols>
  <sheetData>
    <row r="1" spans="1:13" ht="31">
      <c r="A1" s="80" t="str">
        <f>IF(AND(Path&lt;&gt;Units!$B$129,Master_Switch="On"),"User should not use this worksheet, but switch to a non-blank GHG summary worksheet","")</f>
        <v>User should not use this worksheet, but switch to a non-blank GHG summary worksheet</v>
      </c>
    </row>
    <row r="2" spans="1:13" ht="84.65" customHeight="1">
      <c r="B2" s="106" t="s">
        <v>900</v>
      </c>
      <c r="C2" s="106" t="s">
        <v>901</v>
      </c>
      <c r="D2" s="106" t="s">
        <v>902</v>
      </c>
      <c r="E2" s="106" t="s">
        <v>903</v>
      </c>
      <c r="F2" s="106" t="s">
        <v>904</v>
      </c>
      <c r="G2" s="106" t="s">
        <v>905</v>
      </c>
      <c r="H2" s="106" t="s">
        <v>906</v>
      </c>
      <c r="I2" s="106" t="s">
        <v>907</v>
      </c>
      <c r="J2" s="106" t="s">
        <v>908</v>
      </c>
      <c r="K2" s="106" t="s">
        <v>909</v>
      </c>
      <c r="L2" s="106" t="s">
        <v>910</v>
      </c>
      <c r="M2" s="106" t="s">
        <v>911</v>
      </c>
    </row>
    <row r="3" spans="1:13">
      <c r="B3" s="61" t="s">
        <v>941</v>
      </c>
      <c r="C3" s="674" t="s">
        <v>942</v>
      </c>
      <c r="D3" s="706" t="str">
        <f>IF(Initial_questions!E$113="", IF(Initial_questions!E$112="", "User to enter in Initial Qus", Initial_questions!E$112), Initial_questions!E$113)</f>
        <v>User to enter in Initial Qus</v>
      </c>
      <c r="E3" s="57" t="str">
        <f>NG_Collection!O20</f>
        <v>NA</v>
      </c>
      <c r="F3" s="170" t="e">
        <f>F4/E4</f>
        <v>#VALUE!</v>
      </c>
      <c r="G3" s="60">
        <f>IF(Initial_questions!$E$73=Units!$H$120, "NSTA data used, ignore row", NG_Collection!V34)</f>
        <v>0</v>
      </c>
      <c r="H3" s="58" t="e">
        <f>IF(Initial_questions!$E$73=Units!$H$120, 0, G3*F3)</f>
        <v>#VALUE!</v>
      </c>
      <c r="I3" s="57" t="str">
        <f>IF(Initial_questions!$E$73=Units!$H$120, 100%, NG_Collection!R20)</f>
        <v/>
      </c>
      <c r="J3" s="57" t="e">
        <f t="shared" ref="J3:J4" si="0">J4*I3</f>
        <v>#VALUE!</v>
      </c>
      <c r="K3" s="59" t="e">
        <f t="shared" ref="K3:K6" si="1">H3*J3</f>
        <v>#VALUE!</v>
      </c>
      <c r="L3" s="709" t="str">
        <f>IF(Path=Units!$B$129,"Use projected","Pathway not chosen")</f>
        <v>Pathway not chosen</v>
      </c>
      <c r="M3" s="711" t="e">
        <f>MAX(0,IF($D$3="Default",L3,K3+K4+K5+K6))</f>
        <v>#VALUE!</v>
      </c>
    </row>
    <row r="4" spans="1:13">
      <c r="B4" s="61" t="s">
        <v>943</v>
      </c>
      <c r="C4" s="675"/>
      <c r="D4" s="707"/>
      <c r="E4" s="57" t="str">
        <f>IF(Initial_questions!$E$73=Units!$H$120,100%, NG_Transport!O20)</f>
        <v/>
      </c>
      <c r="F4" s="170" t="e">
        <f>F5/E5</f>
        <v>#VALUE!</v>
      </c>
      <c r="G4" s="60">
        <f>IF(Initial_questions!$E$73=Units!$H$120, "NSTA data used, ignore row", NG_Transport!V33)</f>
        <v>0</v>
      </c>
      <c r="H4" s="58" t="e">
        <f>IF(Initial_questions!$E$73=Units!$H$120, 0, G4*F4)</f>
        <v>#VALUE!</v>
      </c>
      <c r="I4" s="57" t="str">
        <f>IF(Initial_questions!$E$73=Units!$H$120, 100%, NG_Transport!R20)</f>
        <v/>
      </c>
      <c r="J4" s="57" t="e">
        <f t="shared" si="0"/>
        <v>#VALUE!</v>
      </c>
      <c r="K4" s="59" t="e">
        <f t="shared" si="1"/>
        <v>#VALUE!</v>
      </c>
      <c r="L4" s="710"/>
      <c r="M4" s="712"/>
    </row>
    <row r="5" spans="1:13">
      <c r="B5" s="61" t="s">
        <v>59</v>
      </c>
      <c r="C5" s="675"/>
      <c r="D5" s="707"/>
      <c r="E5" s="57" t="str">
        <f>IF(Initial_questions!$E$73=Units!$H$120, 100%, NG_Processing!O20)</f>
        <v/>
      </c>
      <c r="F5" s="170" t="e">
        <f>F6/E6</f>
        <v>#VALUE!</v>
      </c>
      <c r="G5" s="60">
        <f>IF(Initial_questions!$E$73=Units!$H$120, "NSTA data used, ignore row", NG_Processing!V34)</f>
        <v>0</v>
      </c>
      <c r="H5" s="58" t="e">
        <f>IF(Initial_questions!$E$73=Units!$H$120, 0, G5*F5)</f>
        <v>#VALUE!</v>
      </c>
      <c r="I5" s="57" t="str">
        <f>IF(Initial_questions!$E$73=Units!$H$120, 100%, NG_Processing!R20)</f>
        <v/>
      </c>
      <c r="J5" s="57" t="e">
        <f>J6*I5</f>
        <v>#VALUE!</v>
      </c>
      <c r="K5" s="59" t="e">
        <f t="shared" si="1"/>
        <v>#VALUE!</v>
      </c>
      <c r="L5" s="710"/>
      <c r="M5" s="712"/>
    </row>
    <row r="6" spans="1:13">
      <c r="B6" s="61" t="s">
        <v>60</v>
      </c>
      <c r="C6" s="676"/>
      <c r="D6" s="708"/>
      <c r="E6" s="57" t="str">
        <f>IF(Initial_questions!$E$73=Units!$H$120, 100%, NG_Further_Transport!O20)</f>
        <v/>
      </c>
      <c r="F6" s="170" t="e">
        <f>F7/E7</f>
        <v>#VALUE!</v>
      </c>
      <c r="G6" s="60">
        <f>IF(Initial_questions!$E$73=Units!$H$120, 'Typical data'!$C$252, NG_Further_Transport!V33)</f>
        <v>0</v>
      </c>
      <c r="H6" s="58" t="e">
        <f t="shared" ref="H6" si="2">G6*F6</f>
        <v>#VALUE!</v>
      </c>
      <c r="I6" s="57" t="str">
        <f>IF(Initial_questions!$E$73=Units!$H$120, 100%, NG_Further_Transport!R20)</f>
        <v/>
      </c>
      <c r="J6" s="57" t="e">
        <f>J7*I6</f>
        <v>#VALUE!</v>
      </c>
      <c r="K6" s="59" t="e">
        <f t="shared" si="1"/>
        <v>#VALUE!</v>
      </c>
      <c r="L6" s="710"/>
      <c r="M6" s="713"/>
    </row>
    <row r="7" spans="1:13">
      <c r="B7" s="686" t="s">
        <v>945</v>
      </c>
      <c r="C7" s="61" t="s">
        <v>128</v>
      </c>
      <c r="D7" s="313" t="str">
        <f>IF(Initial_questions!E$114="", IF(Initial_questions!E$112="", "User to enter in Initial Qus", Initial_questions!E$112), Initial_questions!E$114)</f>
        <v>User to enter in Initial Qus</v>
      </c>
      <c r="E7" s="677" t="str">
        <f>NG_Splitting_SolidCarbon!O9</f>
        <v/>
      </c>
      <c r="F7" s="680">
        <v>1</v>
      </c>
      <c r="G7" s="60">
        <f>NG_Splitting_SolidCarbon!V20</f>
        <v>0</v>
      </c>
      <c r="H7" s="58">
        <f>G7*$F$7</f>
        <v>0</v>
      </c>
      <c r="I7" s="677" t="str">
        <f>NG_Splitting_SolidCarbon!R9</f>
        <v/>
      </c>
      <c r="J7" s="677" t="str">
        <f>I7</f>
        <v/>
      </c>
      <c r="K7" s="59" t="e">
        <f>H7*$J$7</f>
        <v>#VALUE!</v>
      </c>
      <c r="L7" s="170" t="str">
        <f>IF(Path=Units!$B$129,"Use projected","Pathway not chosen")</f>
        <v>Pathway not chosen</v>
      </c>
      <c r="M7" s="314" t="e">
        <f>IF(D7="Default",L7,K7)</f>
        <v>#VALUE!</v>
      </c>
    </row>
    <row r="8" spans="1:13">
      <c r="B8" s="687"/>
      <c r="C8" s="61" t="s">
        <v>129</v>
      </c>
      <c r="D8" s="313" t="str">
        <f>IF(Initial_questions!E$115="", IF(Initial_questions!E$112="", "User to enter in Initial Qus", Initial_questions!E$112), Initial_questions!E$115)</f>
        <v>User to enter in Initial Qus</v>
      </c>
      <c r="E8" s="678"/>
      <c r="F8" s="681"/>
      <c r="G8" s="60">
        <f>NG_Splitting_SolidCarbon!V32</f>
        <v>0</v>
      </c>
      <c r="H8" s="58">
        <f t="shared" ref="H8:H14" si="3">G8*$F$7</f>
        <v>0</v>
      </c>
      <c r="I8" s="678"/>
      <c r="J8" s="678"/>
      <c r="K8" s="59" t="e">
        <f t="shared" ref="K8:K14" si="4">H8*$J$7</f>
        <v>#VALUE!</v>
      </c>
      <c r="L8" s="170" t="str">
        <f>IF(Path=Units!$B$129,"Use projected","Pathway not chosen")</f>
        <v>Pathway not chosen</v>
      </c>
      <c r="M8" s="314" t="e">
        <f>IF(D8="Default",L8,K8)</f>
        <v>#VALUE!</v>
      </c>
    </row>
    <row r="9" spans="1:13" ht="16.5">
      <c r="B9" s="687"/>
      <c r="C9" s="61" t="s">
        <v>915</v>
      </c>
      <c r="D9" s="61" t="s">
        <v>916</v>
      </c>
      <c r="E9" s="678"/>
      <c r="F9" s="681"/>
      <c r="G9" s="60">
        <f>NG_Splitting_SolidCarbon!V44</f>
        <v>0</v>
      </c>
      <c r="H9" s="58">
        <f t="shared" si="3"/>
        <v>0</v>
      </c>
      <c r="I9" s="678"/>
      <c r="J9" s="678"/>
      <c r="K9" s="59" t="e">
        <f t="shared" si="4"/>
        <v>#VALUE!</v>
      </c>
      <c r="L9" s="56" t="s">
        <v>868</v>
      </c>
      <c r="M9" s="314" t="e">
        <f>IF(D9="Default",L9,K9)</f>
        <v>#VALUE!</v>
      </c>
    </row>
    <row r="10" spans="1:13" ht="16.5">
      <c r="B10" s="687"/>
      <c r="C10" s="93" t="s">
        <v>917</v>
      </c>
      <c r="D10" s="61" t="s">
        <v>916</v>
      </c>
      <c r="E10" s="678"/>
      <c r="F10" s="681"/>
      <c r="G10" s="60">
        <f>NG_Splitting_SolidCarbon!V51</f>
        <v>0</v>
      </c>
      <c r="H10" s="58">
        <f t="shared" si="3"/>
        <v>0</v>
      </c>
      <c r="I10" s="678"/>
      <c r="J10" s="678"/>
      <c r="K10" s="59" t="e">
        <f t="shared" si="4"/>
        <v>#VALUE!</v>
      </c>
      <c r="L10" s="56" t="s">
        <v>868</v>
      </c>
      <c r="M10" s="314" t="e">
        <f>IF(D10="Default",L10,K10)</f>
        <v>#VALUE!</v>
      </c>
    </row>
    <row r="11" spans="1:13">
      <c r="B11" s="687"/>
      <c r="C11" s="93" t="s">
        <v>946</v>
      </c>
      <c r="D11" s="61" t="s">
        <v>916</v>
      </c>
      <c r="E11" s="678"/>
      <c r="F11" s="681"/>
      <c r="G11" s="60">
        <f>NG_Splitting_SolidCarbon!V59</f>
        <v>0</v>
      </c>
      <c r="H11" s="58">
        <f t="shared" si="3"/>
        <v>0</v>
      </c>
      <c r="I11" s="678"/>
      <c r="J11" s="678"/>
      <c r="K11" s="59" t="e">
        <f t="shared" si="4"/>
        <v>#VALUE!</v>
      </c>
      <c r="L11" s="56" t="s">
        <v>868</v>
      </c>
      <c r="M11" s="314" t="e">
        <f>IF(D11="Default",L11,K11)</f>
        <v>#VALUE!</v>
      </c>
    </row>
    <row r="12" spans="1:13" ht="16.5">
      <c r="B12" s="687"/>
      <c r="C12" s="93" t="s">
        <v>918</v>
      </c>
      <c r="D12" s="61" t="s">
        <v>916</v>
      </c>
      <c r="E12" s="678"/>
      <c r="F12" s="681"/>
      <c r="G12" s="60">
        <f>NG_Splitting_SolidCarbon!V69</f>
        <v>0</v>
      </c>
      <c r="H12" s="58">
        <f t="shared" si="3"/>
        <v>0</v>
      </c>
      <c r="I12" s="678"/>
      <c r="J12" s="678"/>
      <c r="K12" s="59" t="e">
        <f t="shared" si="4"/>
        <v>#VALUE!</v>
      </c>
      <c r="L12" s="56" t="s">
        <v>868</v>
      </c>
      <c r="M12" s="314" t="e">
        <f t="shared" ref="M12:M13" si="5">IF(D12="Default",L12,K12)</f>
        <v>#VALUE!</v>
      </c>
    </row>
    <row r="13" spans="1:13">
      <c r="B13" s="687"/>
      <c r="C13" s="93" t="s">
        <v>947</v>
      </c>
      <c r="D13" s="61" t="s">
        <v>916</v>
      </c>
      <c r="E13" s="678"/>
      <c r="F13" s="681"/>
      <c r="G13" s="60">
        <f>NG_Splitting_SolidCarbon!V76</f>
        <v>0</v>
      </c>
      <c r="H13" s="58">
        <f t="shared" si="3"/>
        <v>0</v>
      </c>
      <c r="I13" s="678"/>
      <c r="J13" s="678"/>
      <c r="K13" s="59" t="e">
        <f t="shared" si="4"/>
        <v>#VALUE!</v>
      </c>
      <c r="L13" s="56" t="s">
        <v>868</v>
      </c>
      <c r="M13" s="314" t="e">
        <f t="shared" si="5"/>
        <v>#VALUE!</v>
      </c>
    </row>
    <row r="14" spans="1:13" ht="16.5">
      <c r="B14" s="688"/>
      <c r="C14" s="61" t="s">
        <v>919</v>
      </c>
      <c r="D14" s="61" t="s">
        <v>916</v>
      </c>
      <c r="E14" s="679"/>
      <c r="F14" s="682"/>
      <c r="G14" s="60">
        <f>NG_Splitting_SolidCarbon!V83</f>
        <v>0</v>
      </c>
      <c r="H14" s="58">
        <f t="shared" si="3"/>
        <v>0</v>
      </c>
      <c r="I14" s="679"/>
      <c r="J14" s="679"/>
      <c r="K14" s="59" t="e">
        <f t="shared" si="4"/>
        <v>#VALUE!</v>
      </c>
      <c r="L14" s="56" t="s">
        <v>868</v>
      </c>
      <c r="M14" s="314" t="e">
        <f>IF(D14="Default",L14,K14)</f>
        <v>#VALUE!</v>
      </c>
    </row>
    <row r="15" spans="1:13" ht="29">
      <c r="B15" s="61" t="s">
        <v>920</v>
      </c>
      <c r="C15" s="704" t="s">
        <v>921</v>
      </c>
      <c r="D15" s="545" t="s">
        <v>922</v>
      </c>
      <c r="E15" s="28"/>
      <c r="F15" s="28"/>
      <c r="G15" s="28"/>
      <c r="H15" s="28"/>
      <c r="I15" s="28"/>
      <c r="L15" s="522" t="str">
        <f>'Typical data'!$D$331</f>
        <v>Yet to provide pressure or electricity source</v>
      </c>
      <c r="M15" s="521" t="str">
        <f>L15</f>
        <v>Yet to provide pressure or electricity source</v>
      </c>
    </row>
    <row r="16" spans="1:13" ht="29">
      <c r="B16" s="61" t="s">
        <v>924</v>
      </c>
      <c r="C16" s="705"/>
      <c r="D16" s="545" t="s">
        <v>925</v>
      </c>
      <c r="E16" s="28"/>
      <c r="F16" s="28"/>
      <c r="G16" s="108"/>
      <c r="H16" s="28"/>
      <c r="I16" s="28"/>
      <c r="L16" s="524" t="str">
        <f>'Typical data'!$D$349</f>
        <v>Yet to provide electricity source</v>
      </c>
      <c r="M16" s="521" t="str">
        <f>L16</f>
        <v>Yet to provide electricity source</v>
      </c>
    </row>
    <row r="17" spans="2:15">
      <c r="B17" s="96"/>
      <c r="C17" s="94"/>
      <c r="D17" s="95"/>
      <c r="E17" s="28"/>
      <c r="F17" s="28"/>
      <c r="G17" s="108"/>
      <c r="H17" s="28"/>
      <c r="I17" s="28"/>
    </row>
    <row r="18" spans="2:15" ht="18.5">
      <c r="B18" s="97" t="s">
        <v>926</v>
      </c>
      <c r="C18" s="98"/>
      <c r="D18" s="98"/>
      <c r="E18" s="99">
        <f>PRODUCT(E3:E16)</f>
        <v>0</v>
      </c>
      <c r="F18" s="100"/>
      <c r="G18" s="100"/>
      <c r="H18" s="100"/>
      <c r="I18" s="101"/>
      <c r="J18" s="114"/>
      <c r="K18" s="101"/>
      <c r="L18" s="101"/>
      <c r="M18" s="102" t="str">
        <f>IF(COUNTIF(M3:M16,"*")&gt;0,"Pathway not chosen",SUM(M3:M16))</f>
        <v>Pathway not chosen</v>
      </c>
    </row>
    <row r="19" spans="2:15" ht="18.649999999999999" customHeight="1">
      <c r="B19" s="97" t="s">
        <v>927</v>
      </c>
      <c r="C19" s="98"/>
      <c r="D19" s="98"/>
      <c r="E19" s="101"/>
      <c r="F19" s="101"/>
      <c r="G19" s="101"/>
      <c r="H19" s="101"/>
      <c r="I19" s="101"/>
      <c r="J19" s="101"/>
      <c r="K19" s="101"/>
      <c r="L19" s="101"/>
      <c r="M19" s="103">
        <v>20</v>
      </c>
    </row>
    <row r="20" spans="2:15" ht="14.5" customHeight="1"/>
    <row r="22" spans="2:15">
      <c r="D22" s="549"/>
    </row>
    <row r="24" spans="2:15">
      <c r="O24" s="275"/>
    </row>
  </sheetData>
  <customSheetViews>
    <customSheetView guid="{2D920366-22B2-4182-A65D-0EDBE614FB37}" showGridLines="0">
      <pane xSplit="3" topLeftCell="D1" activePane="topRight" state="frozen"/>
      <selection pane="topRight"/>
      <pageMargins left="0" right="0" top="0" bottom="0" header="0" footer="0"/>
      <pageSetup paperSize="9" orientation="portrait" r:id="rId1"/>
    </customSheetView>
    <customSheetView guid="{F468A2FD-7987-4A9D-8BAE-1AACE523607F}" showGridLines="0" state="hidden">
      <pane xSplit="3" topLeftCell="D1" activePane="topRight" state="frozen"/>
      <selection pane="topRight" activeCell="D2" sqref="D2"/>
      <pageMargins left="0" right="0" top="0" bottom="0" header="0" footer="0"/>
      <pageSetup paperSize="9" orientation="portrait" r:id="rId2"/>
    </customSheetView>
    <customSheetView guid="{D97B1299-69D0-4EE0-B673-CCF74742F96B}" state="hidden">
      <selection activeCell="D2" sqref="D2"/>
      <pageMargins left="0" right="0" top="0" bottom="0" header="0" footer="0"/>
      <pageSetup paperSize="9" orientation="portrait" r:id="rId3"/>
    </customSheetView>
    <customSheetView guid="{3F0A4FBA-5323-448F-A023-B3E14C54064C}" showGridLines="0">
      <pane xSplit="3" topLeftCell="D1" activePane="topRight" state="frozen"/>
      <selection pane="topRight" activeCell="D2" sqref="D2"/>
      <pageMargins left="0" right="0" top="0" bottom="0" header="0" footer="0"/>
      <pageSetup paperSize="9" orientation="portrait" r:id="rId4"/>
    </customSheetView>
    <customSheetView guid="{E6EFD927-84B2-4D06-BB59-59D9DF522DA2}" showGridLines="0" state="hidden">
      <pane xSplit="3" topLeftCell="D1" activePane="topRight" state="frozen"/>
      <selection pane="topRight" activeCell="D2" sqref="D2"/>
      <pageMargins left="0" right="0" top="0" bottom="0" header="0" footer="0"/>
      <pageSetup paperSize="9" orientation="portrait" r:id="rId5"/>
    </customSheetView>
    <customSheetView guid="{0E935136-9A80-44B6-88D5-61E64D742049}" showGridLines="0" state="hidden">
      <pane xSplit="3" topLeftCell="D1" activePane="topRight" state="frozen"/>
      <selection pane="topRight" activeCell="D2" sqref="D2"/>
      <pageMargins left="0" right="0" top="0" bottom="0" header="0" footer="0"/>
      <pageSetup paperSize="9" orientation="portrait" r:id="rId6"/>
    </customSheetView>
    <customSheetView guid="{1C16EB38-F785-4168-9938-104594734038}" showGridLines="0" state="hidden">
      <pane xSplit="3" topLeftCell="D1" activePane="topRight" state="frozen"/>
      <selection pane="topRight" activeCell="D2" sqref="D2"/>
      <pageMargins left="0" right="0" top="0" bottom="0" header="0" footer="0"/>
      <pageSetup paperSize="9" orientation="portrait" r:id="rId7"/>
    </customSheetView>
    <customSheetView guid="{EECBF9DF-6D77-4263-85DA-71E40216BADD}" showGridLines="0" state="hidden">
      <pane xSplit="3" topLeftCell="D1" activePane="topRight" state="frozen"/>
      <selection pane="topRight" activeCell="D2" sqref="D2"/>
      <pageMargins left="0" right="0" top="0" bottom="0" header="0" footer="0"/>
      <pageSetup paperSize="9" orientation="portrait" r:id="rId8"/>
    </customSheetView>
    <customSheetView guid="{F03309BC-D3FA-4CF2-833B-D6D9A95FE1FB}" showGridLines="0" state="hidden">
      <pane xSplit="3" topLeftCell="D1" activePane="topRight" state="frozen"/>
      <selection pane="topRight" activeCell="D2" sqref="D2"/>
      <pageMargins left="0" right="0" top="0" bottom="0" header="0" footer="0"/>
      <pageSetup paperSize="9" orientation="portrait" r:id="rId9"/>
    </customSheetView>
  </customSheetViews>
  <mergeCells count="10">
    <mergeCell ref="J7:J14"/>
    <mergeCell ref="C3:C6"/>
    <mergeCell ref="D3:D6"/>
    <mergeCell ref="L3:L6"/>
    <mergeCell ref="M3:M6"/>
    <mergeCell ref="C15:C16"/>
    <mergeCell ref="B7:B14"/>
    <mergeCell ref="E7:E14"/>
    <mergeCell ref="F7:F14"/>
    <mergeCell ref="I7:I14"/>
  </mergeCells>
  <pageMargins left="0" right="0" top="0" bottom="0" header="0" footer="0"/>
  <pageSetup paperSize="9" orientation="portrait" r:id="rId10"/>
  <extLst>
    <ext xmlns:x14="http://schemas.microsoft.com/office/spreadsheetml/2009/9/main" uri="{78C0D931-6437-407d-A8EE-F0AAD7539E65}">
      <x14:conditionalFormattings>
        <x14:conditionalFormatting xmlns:xm="http://schemas.microsoft.com/office/excel/2006/main">
          <x14:cfRule type="expression" priority="2" id="{7C82E43E-43C5-4E73-B7A6-328D612133FA}">
            <xm:f>AND(Path&lt;&gt;Units!$B$129,Master_Switch="On")</xm:f>
            <x14:dxf>
              <font>
                <color theme="0"/>
              </font>
              <fill>
                <patternFill>
                  <bgColor theme="0"/>
                </patternFill>
              </fill>
              <border>
                <left/>
                <right/>
                <top/>
                <bottom/>
              </border>
            </x14:dxf>
          </x14:cfRule>
          <xm:sqref>A2:XFD102</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B1C88-8481-419E-8B3F-6D49730AFC19}">
  <sheetPr codeName="Sheet12">
    <tabColor rgb="FFFF66CC"/>
  </sheetPr>
  <dimension ref="A1:Q24"/>
  <sheetViews>
    <sheetView showGridLines="0" zoomScaleNormal="100" workbookViewId="0">
      <pane xSplit="3" topLeftCell="D1" activePane="topRight" state="frozen"/>
      <selection pane="topRight"/>
    </sheetView>
  </sheetViews>
  <sheetFormatPr defaultColWidth="8.81640625" defaultRowHeight="14.5"/>
  <cols>
    <col min="1" max="1" width="4.54296875" customWidth="1"/>
    <col min="2" max="2" width="32.453125" customWidth="1"/>
    <col min="3" max="3" width="30.54296875" customWidth="1"/>
    <col min="4" max="4" width="29.54296875" customWidth="1"/>
    <col min="5" max="5" width="15.81640625" customWidth="1"/>
    <col min="6" max="6" width="31.81640625" customWidth="1"/>
    <col min="7" max="7" width="28.54296875" customWidth="1"/>
    <col min="8" max="8" width="30.453125" customWidth="1"/>
    <col min="9" max="10" width="26.81640625" customWidth="1"/>
    <col min="11" max="11" width="35.1796875" customWidth="1"/>
    <col min="12" max="12" width="29.54296875" customWidth="1"/>
    <col min="13" max="13" width="29" customWidth="1"/>
    <col min="15" max="15" width="30.1796875" customWidth="1"/>
    <col min="16" max="16" width="28.81640625" customWidth="1"/>
    <col min="17" max="17" width="28.54296875" customWidth="1"/>
  </cols>
  <sheetData>
    <row r="1" spans="1:17" ht="31">
      <c r="A1" s="80" t="str">
        <f>IF(AND(Path&lt;&gt;Units!$B$131,Path&lt;&gt;Units!$B$132, Path&lt;&gt;Units!$B$133,Path&lt;&gt;Units!$B$134,Master_Switch="On"),"User should not use this worksheet, but switch to a non-blank GHG summary worksheet","")</f>
        <v>User should not use this worksheet, but switch to a non-blank GHG summary worksheet</v>
      </c>
    </row>
    <row r="2" spans="1:17" ht="84.65" customHeight="1">
      <c r="B2" s="106" t="s">
        <v>900</v>
      </c>
      <c r="C2" s="106" t="s">
        <v>901</v>
      </c>
      <c r="D2" s="106" t="s">
        <v>902</v>
      </c>
      <c r="E2" s="106" t="s">
        <v>903</v>
      </c>
      <c r="F2" s="106" t="s">
        <v>904</v>
      </c>
      <c r="G2" s="106" t="s">
        <v>905</v>
      </c>
      <c r="H2" s="106" t="s">
        <v>906</v>
      </c>
      <c r="I2" s="106" t="s">
        <v>907</v>
      </c>
      <c r="J2" s="106" t="s">
        <v>908</v>
      </c>
      <c r="K2" s="106" t="s">
        <v>909</v>
      </c>
      <c r="L2" s="106" t="s">
        <v>910</v>
      </c>
      <c r="M2" s="106" t="s">
        <v>911</v>
      </c>
      <c r="O2" s="175" t="s">
        <v>948</v>
      </c>
      <c r="P2" s="175" t="s">
        <v>949</v>
      </c>
      <c r="Q2" s="175" t="s">
        <v>950</v>
      </c>
    </row>
    <row r="3" spans="1:17">
      <c r="B3" s="61" t="s">
        <v>73</v>
      </c>
      <c r="C3" s="686" t="s">
        <v>942</v>
      </c>
      <c r="D3" s="93" t="s">
        <v>951</v>
      </c>
      <c r="E3" s="57" t="str">
        <f>IF(AND(Initial_questions!$E$68&lt;&gt;Units!$T$120, Initial_questions!$E$68&lt;&gt;Units!$T$121, Initial_questions!$E$68&lt;&gt;Units!$T$122, Initial_questions!$E$68&lt;&gt;Units!$T$123),"NA", Biogas_Feedstock_Cultivation!O20)</f>
        <v>NA</v>
      </c>
      <c r="F3" s="170" t="str">
        <f>IF(AND(Initial_questions!$E$68&lt;&gt;Units!$T$120, Initial_questions!$E$68&lt;&gt;Units!$T$121, Initial_questions!$E$68&lt;&gt;Units!$T$122, Initial_questions!$E$68&lt;&gt;Units!$T$123),"NA",F4/E4)</f>
        <v>NA</v>
      </c>
      <c r="G3" s="169" t="str">
        <f>IF(AND(Initial_questions!$E$68&lt;&gt;Units!$T$120, Initial_questions!$E$68&lt;&gt;Units!$T$121, Initial_questions!$E$68&lt;&gt;Units!$T$122, Initial_questions!$E$68&lt;&gt;Units!$T$123),"Row not used",Biogas_Feedstock_Cultivation!V38)</f>
        <v>Row not used</v>
      </c>
      <c r="H3" s="58" t="str">
        <f>IF(AND(Initial_questions!$E$68&lt;&gt;Units!$T$120, Initial_questions!$E$68&lt;&gt;Units!$T$121, Initial_questions!$E$68&lt;&gt;Units!$T$122, Initial_questions!$E$68&lt;&gt;Units!$T$123),"NA",G3*F3)</f>
        <v>NA</v>
      </c>
      <c r="I3" s="317" t="str">
        <f>IF(AND(Initial_questions!$E$68&lt;&gt;Units!$T$120, Initial_questions!$E$68&lt;&gt;Units!$T$121, Initial_questions!$E$68&lt;&gt;Units!$T$122, Initial_questions!$E$68&lt;&gt;Units!$T$123),"NA",Biogas_Feedstock_Cultivation!R20)</f>
        <v>NA</v>
      </c>
      <c r="J3" s="57" t="str">
        <f>IF(AND(Initial_questions!$E$68&lt;&gt;Units!$T$120, Initial_questions!$E$68&lt;&gt;Units!$T$121, Initial_questions!$E$68&lt;&gt;Units!$T$122, Initial_questions!$E$68&lt;&gt;Units!$T$123),"NA",J4*I3)</f>
        <v>NA</v>
      </c>
      <c r="K3" s="59">
        <f>IF(AND(Initial_questions!$E$68&lt;&gt;Units!$T$120, Initial_questions!$E$68&lt;&gt;Units!$T$121, Initial_questions!$E$68&lt;&gt;Units!$T$122, Initial_questions!$E$68&lt;&gt;Units!$T$123),0,H3*J3)</f>
        <v>0</v>
      </c>
      <c r="L3" s="56" t="s">
        <v>868</v>
      </c>
      <c r="M3" s="711" t="e">
        <f>MAX(0,IF($D$5="Default",L5,SUM(K3:K8)))</f>
        <v>#VALUE!</v>
      </c>
      <c r="O3" s="164" t="s">
        <v>868</v>
      </c>
      <c r="P3" s="164" t="s">
        <v>868</v>
      </c>
      <c r="Q3" s="701" t="str">
        <f>IF(Path=Units!$B$131,'Default data'!G$19, IF(Path=Units!$B$133,'Default data'!G$20, IF(OR(Path=Units!$B$132, Path=Units!$B$134),"Pathway not available from LCA tool","Pathway not chosen")))</f>
        <v>Pathway not chosen</v>
      </c>
    </row>
    <row r="4" spans="1:17">
      <c r="B4" s="61" t="s">
        <v>74</v>
      </c>
      <c r="C4" s="687"/>
      <c r="D4" s="93" t="s">
        <v>951</v>
      </c>
      <c r="E4" s="57" t="str">
        <f>IF(AND(Initial_questions!$E$68&lt;&gt;Units!$T$120, Initial_questions!$E$68&lt;&gt;Units!$T$121, Initial_questions!$E$68&lt;&gt;Units!$T$122, Initial_questions!$E$68&lt;&gt;Units!$T$123),"NA",Biogas_Feedstock_Harvesting!O20)</f>
        <v>NA</v>
      </c>
      <c r="F4" s="170" t="e">
        <f>F5/E5</f>
        <v>#VALUE!</v>
      </c>
      <c r="G4" s="169">
        <f>Biogas_Feedstock_Harvesting!V33</f>
        <v>0</v>
      </c>
      <c r="H4" s="58" t="e">
        <f>G4*F4</f>
        <v>#VALUE!</v>
      </c>
      <c r="I4" s="317" t="str">
        <f>IF(AND(Initial_questions!$E$68&lt;&gt;Units!$T$120, Initial_questions!$E$68&lt;&gt;Units!$T$121, Initial_questions!$E$68&lt;&gt;Units!$T$122, Initial_questions!$E$68&lt;&gt;Units!$T$123),"NA",Biogas_Feedstock_Harvesting!R20)</f>
        <v>NA</v>
      </c>
      <c r="J4" s="57" t="str">
        <f>IF(AND(Initial_questions!$E$68&lt;&gt;Units!$T$120, Initial_questions!$E$68&lt;&gt;Units!$T$121, Initial_questions!$E$68&lt;&gt;Units!$T$122, Initial_questions!$E$68&lt;&gt;Units!$T$123),"NA",J5*I4)</f>
        <v>NA</v>
      </c>
      <c r="K4" s="59">
        <f>IF(AND(Initial_questions!$E$68&lt;&gt;Units!$T$120, Initial_questions!$E$68&lt;&gt;Units!$T$121, Initial_questions!$E$68&lt;&gt;Units!$T$122, Initial_questions!$E$68&lt;&gt;Units!$T$123),0,H4*J4)</f>
        <v>0</v>
      </c>
      <c r="L4" s="56" t="s">
        <v>868</v>
      </c>
      <c r="M4" s="712"/>
      <c r="O4" s="164" t="s">
        <v>868</v>
      </c>
      <c r="P4" s="164" t="s">
        <v>868</v>
      </c>
      <c r="Q4" s="702"/>
    </row>
    <row r="5" spans="1:17">
      <c r="B5" s="61" t="s">
        <v>75</v>
      </c>
      <c r="C5" s="687"/>
      <c r="D5" s="706" t="str" cm="1">
        <f t="array" ref="D5">IF(OR(Path=Units!B131:B132),"Must use projected",IF(Initial_questions!E$113="", IF(Initial_questions!E$112="", "User to enter in Initial Qus", Initial_questions!E$112), Initial_questions!E$113))</f>
        <v>User to enter in Initial Qus</v>
      </c>
      <c r="E5" s="57" t="str">
        <f>Biogas_Feedstock_Collection!O20</f>
        <v/>
      </c>
      <c r="F5" s="170" t="e">
        <f>F6/E6</f>
        <v>#VALUE!</v>
      </c>
      <c r="G5" s="169">
        <f>Biogas_Feedstock_Collection!V33</f>
        <v>0</v>
      </c>
      <c r="H5" s="58" t="e">
        <f>G5*F5</f>
        <v>#VALUE!</v>
      </c>
      <c r="I5" s="317" t="str">
        <f>Biogas_Feedstock_Collection!R20</f>
        <v/>
      </c>
      <c r="J5" s="57" t="e">
        <f>J6*I5</f>
        <v>#VALUE!</v>
      </c>
      <c r="K5" s="59" t="e">
        <f>H5*J5</f>
        <v>#VALUE!</v>
      </c>
      <c r="L5" s="723" t="str" cm="1">
        <f t="array" ref="L5">IF(Initial_questions!$E$111="No", "Feedstock does not match default", IF(OR(Path=Units!$B$131:$B$132),"SMR pathways cannot use default data for Feedstock Supply, select projected data in Initial Questions", IF(OR(Path=Units!$B$133:$B$134),'Default data'!$D$20,"Pathway not chosen")))</f>
        <v>Pathway not chosen</v>
      </c>
      <c r="M5" s="712"/>
      <c r="O5" s="701" t="str">
        <f>IF(Path=Units!$B$131,'Default data'!E$19, IF(Path=Units!$B$133,'Default data'!E$20, IF(OR(Path=Units!$B$132, Path=Units!$B$134),"Pathway not available from LCA tool","Pathway not chosen")))</f>
        <v>Pathway not chosen</v>
      </c>
      <c r="P5" s="701" t="str">
        <f>IF(Path=Units!$B$131,'Default data'!F$19, IF(Path=Units!$B$133,'Default data'!F$20, IF(OR(Path=Units!$B$132, Path=Units!$B$134),"Pathway not available from LCA tool","Pathway not chosen")))</f>
        <v>Pathway not chosen</v>
      </c>
      <c r="Q5" s="702"/>
    </row>
    <row r="6" spans="1:17">
      <c r="B6" s="61" t="s">
        <v>76</v>
      </c>
      <c r="C6" s="687"/>
      <c r="D6" s="707"/>
      <c r="E6" s="57" t="str">
        <f>Biogas_Feedstock_Transport!O20</f>
        <v/>
      </c>
      <c r="F6" s="170" t="e">
        <f t="shared" ref="F6:F7" si="0">F7/E7</f>
        <v>#VALUE!</v>
      </c>
      <c r="G6" s="169">
        <f>Biogas_Feedstock_Transport!V33</f>
        <v>0</v>
      </c>
      <c r="H6" s="58" t="e">
        <f t="shared" ref="H6:H7" si="1">G6*F6</f>
        <v>#VALUE!</v>
      </c>
      <c r="I6" s="317" t="str">
        <f>Biogas_Feedstock_Transport!R20</f>
        <v/>
      </c>
      <c r="J6" s="57" t="e">
        <f t="shared" ref="J6:J8" si="2">J7*I6</f>
        <v>#VALUE!</v>
      </c>
      <c r="K6" s="59" t="e">
        <f t="shared" ref="K6:K8" si="3">H6*J6</f>
        <v>#VALUE!</v>
      </c>
      <c r="L6" s="724"/>
      <c r="M6" s="712"/>
      <c r="O6" s="702"/>
      <c r="P6" s="702"/>
      <c r="Q6" s="702"/>
    </row>
    <row r="7" spans="1:17">
      <c r="B7" s="61" t="s">
        <v>952</v>
      </c>
      <c r="C7" s="687"/>
      <c r="D7" s="707"/>
      <c r="E7" s="57" t="str">
        <f>'Biogas+Biomethane_Upgrading'!O20</f>
        <v/>
      </c>
      <c r="F7" s="170" t="e">
        <f t="shared" si="0"/>
        <v>#VALUE!</v>
      </c>
      <c r="G7" s="169">
        <f>'Biogas+Biomethane_Upgrading'!V36</f>
        <v>0</v>
      </c>
      <c r="H7" s="58" t="e">
        <f t="shared" si="1"/>
        <v>#VALUE!</v>
      </c>
      <c r="I7" s="317" t="str">
        <f>'Biogas+Biomethane_Upgrading'!R20</f>
        <v/>
      </c>
      <c r="J7" s="57" t="e">
        <f t="shared" si="2"/>
        <v>#VALUE!</v>
      </c>
      <c r="K7" s="59" t="e">
        <f t="shared" si="3"/>
        <v>#VALUE!</v>
      </c>
      <c r="L7" s="724"/>
      <c r="M7" s="712"/>
      <c r="O7" s="702"/>
      <c r="P7" s="702"/>
      <c r="Q7" s="702"/>
    </row>
    <row r="8" spans="1:17">
      <c r="B8" s="61" t="s">
        <v>78</v>
      </c>
      <c r="C8" s="688"/>
      <c r="D8" s="708"/>
      <c r="E8" s="57" t="str">
        <f>Biomethane_Transport!O20</f>
        <v/>
      </c>
      <c r="F8" s="170" t="e">
        <f>F9/E9</f>
        <v>#VALUE!</v>
      </c>
      <c r="G8" s="169">
        <f>Biomethane_Transport!V33</f>
        <v>0</v>
      </c>
      <c r="H8" s="58" t="e">
        <f>G8*F8</f>
        <v>#VALUE!</v>
      </c>
      <c r="I8" s="317" t="str">
        <f>Biomethane_Transport!R20</f>
        <v/>
      </c>
      <c r="J8" s="57" t="e">
        <f t="shared" si="2"/>
        <v>#VALUE!</v>
      </c>
      <c r="K8" s="59" t="e">
        <f t="shared" si="3"/>
        <v>#VALUE!</v>
      </c>
      <c r="L8" s="725"/>
      <c r="M8" s="713"/>
      <c r="O8" s="703"/>
      <c r="P8" s="703"/>
      <c r="Q8" s="703"/>
    </row>
    <row r="9" spans="1:17">
      <c r="B9" s="674" t="s">
        <v>953</v>
      </c>
      <c r="C9" s="61" t="s">
        <v>128</v>
      </c>
      <c r="D9" s="313" t="str">
        <f>IF(Initial_questions!E$114="", IF(Initial_questions!E$112="", "User to enter in Initial Qus", Initial_questions!E$112), Initial_questions!E$114)</f>
        <v>User to enter in Initial Qus</v>
      </c>
      <c r="E9" s="677" t="str">
        <f>Biomethane_Reforming_CCS!O9</f>
        <v/>
      </c>
      <c r="F9" s="680">
        <v>1</v>
      </c>
      <c r="G9" s="60">
        <f>Biomethane_Reforming_CCS!V20</f>
        <v>0</v>
      </c>
      <c r="H9" s="58">
        <f>G9*$F$9</f>
        <v>0</v>
      </c>
      <c r="I9" s="720" t="str">
        <f>Biomethane_Reforming_CCS!R9</f>
        <v/>
      </c>
      <c r="J9" s="677" t="str">
        <f>I9</f>
        <v/>
      </c>
      <c r="K9" s="59" t="e">
        <f>H9*$J$9</f>
        <v>#VALUE!</v>
      </c>
      <c r="L9" s="170" t="str" cm="1">
        <f t="array" ref="L9">IF(OR(Path=Units!$B$131:$B$132),'Default data'!$D$35, IF(OR(Path=Units!$B$133:$B$134),'Default data'!$D$36,"Pathway not chosen"))</f>
        <v>Pathway not chosen</v>
      </c>
      <c r="M9" s="314" t="e">
        <f>IF(D9="Default",L9,K9)</f>
        <v>#VALUE!</v>
      </c>
      <c r="O9" s="164" t="str">
        <f>IF(Path=Units!$B$131,'Default data'!E$35, IF(Path=Units!$B$133,'Default data'!E$36, IF(OR(Path=Units!$B$132, Path=Units!$B$134),"Pathway not available from LCA tool","Pathway not chosen")))</f>
        <v>Pathway not chosen</v>
      </c>
      <c r="P9" s="164" t="str">
        <f>IF(Path=Units!$B$131,'Default data'!F$35, IF(Path=Units!$B$133,'Default data'!F$36, IF(OR(Path=Units!$B$132, Path=Units!$B$134),"Pathway not available from LCA tool","Pathway not chosen")))</f>
        <v>Pathway not chosen</v>
      </c>
      <c r="Q9" s="164" t="str">
        <f>IF(Path=Units!$B$131,'Default data'!G$35, IF(Path=Units!$B$133,'Default data'!G$36, IF(OR(Path=Units!$B$132, Path=Units!$B$134),"Pathway not available from LCA tool","Pathway not chosen")))</f>
        <v>Pathway not chosen</v>
      </c>
    </row>
    <row r="10" spans="1:17">
      <c r="B10" s="675"/>
      <c r="C10" s="61" t="s">
        <v>129</v>
      </c>
      <c r="D10" s="313" t="str">
        <f>IF(Initial_questions!E$115="", IF(Initial_questions!E$112="", "User to enter in Initial Qus", Initial_questions!E$112), Initial_questions!E$115)</f>
        <v>User to enter in Initial Qus</v>
      </c>
      <c r="E10" s="678"/>
      <c r="F10" s="681"/>
      <c r="G10" s="60">
        <f>Biomethane_Reforming_CCS!V33</f>
        <v>0</v>
      </c>
      <c r="H10" s="58">
        <f t="shared" ref="H10:H14" si="4">G10*$F$9</f>
        <v>0</v>
      </c>
      <c r="I10" s="721"/>
      <c r="J10" s="678"/>
      <c r="K10" s="59" t="e">
        <f t="shared" ref="K10:K14" si="5">H10*$J$9</f>
        <v>#VALUE!</v>
      </c>
      <c r="L10" s="170" t="str" cm="1">
        <f t="array" ref="L10">IF(OR(Path=Units!$B$131:$B$132),'Default data'!$D$51, IF(OR(Path=Units!$B$133:$B$134),'Default data'!$D$52,"Pathway not chosen"))</f>
        <v>Pathway not chosen</v>
      </c>
      <c r="M10" s="314" t="e">
        <f>IF(D10="Default",L10,K10)</f>
        <v>#VALUE!</v>
      </c>
      <c r="O10" s="164" t="str">
        <f>IF(Path=Units!$B$131,'Default data'!E$51, IF(Path=Units!$B$133,'Default data'!E$52, IF(OR(Path=Units!$B$132, Path=Units!$B$134),"Pathway not available from LCA tool","Pathway not chosen")))</f>
        <v>Pathway not chosen</v>
      </c>
      <c r="P10" s="164" t="str">
        <f>IF(Path=Units!$B$131,'Default data'!F$51, IF(Path=Units!$B$133,'Default data'!F$52, IF(OR(Path=Units!$B$132, Path=Units!$B$134),"Pathway not available from LCA tool","Pathway not chosen")))</f>
        <v>Pathway not chosen</v>
      </c>
      <c r="Q10" s="164" t="str">
        <f>IF(Path=Units!$B$131,'Default data'!G$51, IF(Path=Units!$B$133,'Default data'!G$52, IF(OR(Path=Units!$B$132, Path=Units!$B$134),"Pathway not available from LCA tool","Pathway not chosen")))</f>
        <v>Pathway not chosen</v>
      </c>
    </row>
    <row r="11" spans="1:17" ht="16.5">
      <c r="B11" s="675"/>
      <c r="C11" s="265" t="s">
        <v>954</v>
      </c>
      <c r="D11" s="61" t="s">
        <v>916</v>
      </c>
      <c r="E11" s="678"/>
      <c r="F11" s="681"/>
      <c r="G11" s="60">
        <f>Biomethane_Reforming_CCS!V45</f>
        <v>0</v>
      </c>
      <c r="H11" s="58">
        <f t="shared" si="4"/>
        <v>0</v>
      </c>
      <c r="I11" s="721"/>
      <c r="J11" s="678"/>
      <c r="K11" s="59" t="e">
        <f t="shared" si="5"/>
        <v>#VALUE!</v>
      </c>
      <c r="L11" s="56" t="s">
        <v>868</v>
      </c>
      <c r="M11" s="314" t="e">
        <f>IF(D11="Default",L11,K11)</f>
        <v>#VALUE!</v>
      </c>
      <c r="O11" s="164" t="str">
        <f>IF(Path=Units!$B$131,'Default data'!E$67, IF(Path=Units!$B$133,'Default data'!E$68, IF(OR(Path=Units!$B$132, Path=Units!$B$134),"Pathway not available from LCA tool","Pathway not chosen")))</f>
        <v>Pathway not chosen</v>
      </c>
      <c r="P11" s="164" t="str">
        <f>IF(Path=Units!$B$131,'Default data'!F$67, IF(Path=Units!$B$133,'Default data'!F$68, IF(OR(Path=Units!$B$132, Path=Units!$B$134),"Pathway not available from LCA tool","Pathway not chosen")))</f>
        <v>Pathway not chosen</v>
      </c>
      <c r="Q11" s="164" t="str">
        <f>IF(Path=Units!$B$131,'Default data'!G$67, IF(Path=Units!$B$133,'Default data'!G$68, IF(OR(Path=Units!$B$132, Path=Units!$B$134),"Pathway not available from LCA tool","Pathway not chosen")))</f>
        <v>Pathway not chosen</v>
      </c>
    </row>
    <row r="12" spans="1:17" ht="16.5">
      <c r="B12" s="675"/>
      <c r="C12" s="93" t="s">
        <v>917</v>
      </c>
      <c r="D12" s="61" t="s">
        <v>916</v>
      </c>
      <c r="E12" s="678"/>
      <c r="F12" s="681"/>
      <c r="G12" s="60">
        <f>Biomethane_Reforming_CCS!V52</f>
        <v>0</v>
      </c>
      <c r="H12" s="58">
        <f t="shared" si="4"/>
        <v>0</v>
      </c>
      <c r="I12" s="721"/>
      <c r="J12" s="678"/>
      <c r="K12" s="59" t="e">
        <f t="shared" si="5"/>
        <v>#VALUE!</v>
      </c>
      <c r="L12" s="56" t="s">
        <v>868</v>
      </c>
      <c r="M12" s="314" t="e">
        <f>IF(D12="Default",L12,K12)</f>
        <v>#VALUE!</v>
      </c>
      <c r="O12" s="164" t="str">
        <f>IF(Path=Units!$B$131,'Default data'!E$83, IF(Path=Units!$B$133,'Default data'!E$84, IF(OR(Path=Units!$B$132, Path=Units!$B$134),"Pathway not available from LCA tool","Pathway not chosen")))</f>
        <v>Pathway not chosen</v>
      </c>
      <c r="P12" s="164" t="str">
        <f>IF(Path=Units!$B$131,'Default data'!F$83, IF(Path=Units!$B$133,'Default data'!F$84, IF(OR(Path=Units!$B$132, Path=Units!$B$134),"Pathway not available from LCA tool","Pathway not chosen")))</f>
        <v>Pathway not chosen</v>
      </c>
      <c r="Q12" s="164" t="str">
        <f>IF(Path=Units!$B$131,'Default data'!G$83, IF(Path=Units!$B$133,'Default data'!G$84, IF(OR(Path=Units!$B$132, Path=Units!$B$134),"Pathway not available from LCA tool","Pathway not chosen")))</f>
        <v>Pathway not chosen</v>
      </c>
    </row>
    <row r="13" spans="1:17" ht="16.5">
      <c r="B13" s="675"/>
      <c r="C13" s="93" t="s">
        <v>918</v>
      </c>
      <c r="D13" s="61" t="s">
        <v>916</v>
      </c>
      <c r="E13" s="678"/>
      <c r="F13" s="681"/>
      <c r="G13" s="60">
        <f>Biomethane_Reforming_CCS!V60</f>
        <v>0</v>
      </c>
      <c r="H13" s="58">
        <f t="shared" si="4"/>
        <v>0</v>
      </c>
      <c r="I13" s="721"/>
      <c r="J13" s="678"/>
      <c r="K13" s="59" t="e">
        <f t="shared" si="5"/>
        <v>#VALUE!</v>
      </c>
      <c r="L13" s="56" t="s">
        <v>868</v>
      </c>
      <c r="M13" s="314" t="e">
        <f t="shared" ref="M13" si="6">IF(D13="Default",L13,K13)</f>
        <v>#VALUE!</v>
      </c>
      <c r="O13" s="164" t="str">
        <f>IF(Path=Units!$B$131,'Default data'!E$99, IF(Path=Units!$B$133,'Default data'!E$100, IF(OR(Path=Units!$B$132, Path=Units!$B$134),"Pathway not available from LCA tool","Pathway not chosen")))</f>
        <v>Pathway not chosen</v>
      </c>
      <c r="P13" s="164" t="str">
        <f>IF(Path=Units!$B$131,'Default data'!F$99, IF(Path=Units!$B$133,'Default data'!F$100, IF(OR(Path=Units!$B$132, Path=Units!$B$134),"Pathway not available from LCA tool","Pathway not chosen")))</f>
        <v>Pathway not chosen</v>
      </c>
      <c r="Q13" s="164" t="str">
        <f>IF(Path=Units!$B$131,'Default data'!G$99, IF(Path=Units!$B$133,'Default data'!G$100, IF(OR(Path=Units!$B$132, Path=Units!$B$134),"Pathway not available from LCA tool","Pathway not chosen")))</f>
        <v>Pathway not chosen</v>
      </c>
    </row>
    <row r="14" spans="1:17" ht="16.5">
      <c r="B14" s="676"/>
      <c r="C14" s="61" t="s">
        <v>919</v>
      </c>
      <c r="D14" s="61" t="s">
        <v>916</v>
      </c>
      <c r="E14" s="679"/>
      <c r="F14" s="682"/>
      <c r="G14" s="60">
        <f>Biomethane_Reforming_CCS!V67</f>
        <v>0</v>
      </c>
      <c r="H14" s="58">
        <f t="shared" si="4"/>
        <v>0</v>
      </c>
      <c r="I14" s="722"/>
      <c r="J14" s="679"/>
      <c r="K14" s="59" t="e">
        <f t="shared" si="5"/>
        <v>#VALUE!</v>
      </c>
      <c r="L14" s="56" t="s">
        <v>868</v>
      </c>
      <c r="M14" s="314" t="e">
        <f>IF(D14="Default",L14,K14)</f>
        <v>#VALUE!</v>
      </c>
      <c r="O14" s="164" t="str">
        <f>IF(Path=Units!$B$131,'Default data'!E$115, IF(Path=Units!$B$133,'Default data'!E$116, IF(OR(Path=Units!$B$132, Path=Units!$B$134),"Pathway not available from LCA tool","Pathway not chosen")))</f>
        <v>Pathway not chosen</v>
      </c>
      <c r="P14" s="164" t="str">
        <f>IF(Path=Units!$B$131,'Default data'!F$115, IF(Path=Units!$B$133,'Default data'!F$116, IF(OR(Path=Units!$B$132, Path=Units!$B$134),"Pathway not available from LCA tool","Pathway not chosen")))</f>
        <v>Pathway not chosen</v>
      </c>
      <c r="Q14" s="164" t="str">
        <f>IF(Path=Units!$B$131,'Default data'!G$115, IF(Path=Units!$B$133,'Default data'!G$116, IF(OR(Path=Units!$B$132, Path=Units!$B$134),"Pathway not available from LCA tool","Pathway not chosen")))</f>
        <v>Pathway not chosen</v>
      </c>
    </row>
    <row r="15" spans="1:17" ht="29">
      <c r="B15" s="61" t="s">
        <v>920</v>
      </c>
      <c r="C15" s="689" t="s">
        <v>921</v>
      </c>
      <c r="D15" s="545" t="s">
        <v>922</v>
      </c>
      <c r="E15" s="28"/>
      <c r="F15" s="28"/>
      <c r="G15" s="28"/>
      <c r="H15" s="28"/>
      <c r="I15" s="28"/>
      <c r="J15" s="28"/>
      <c r="K15" s="28"/>
      <c r="L15" s="522" t="str">
        <f>'Typical data'!$D$331</f>
        <v>Yet to provide pressure or electricity source</v>
      </c>
      <c r="M15" s="521" t="str">
        <f>L15</f>
        <v>Yet to provide pressure or electricity source</v>
      </c>
      <c r="O15" s="164" t="s">
        <v>923</v>
      </c>
      <c r="P15" s="164" t="s">
        <v>923</v>
      </c>
      <c r="Q15" s="164" t="s">
        <v>923</v>
      </c>
    </row>
    <row r="16" spans="1:17" ht="29">
      <c r="B16" s="61" t="s">
        <v>924</v>
      </c>
      <c r="C16" s="690"/>
      <c r="D16" s="545" t="s">
        <v>925</v>
      </c>
      <c r="E16" s="28"/>
      <c r="F16" s="28"/>
      <c r="G16" s="28"/>
      <c r="H16" s="28"/>
      <c r="I16" s="28"/>
      <c r="J16" s="28"/>
      <c r="K16" s="28"/>
      <c r="L16" s="523" t="str">
        <f>'Typical data'!$D$349</f>
        <v>Yet to provide electricity source</v>
      </c>
      <c r="M16" s="521" t="str">
        <f>L16</f>
        <v>Yet to provide electricity source</v>
      </c>
      <c r="O16" s="164" t="s">
        <v>923</v>
      </c>
      <c r="P16" s="164" t="s">
        <v>923</v>
      </c>
      <c r="Q16" s="164" t="s">
        <v>923</v>
      </c>
    </row>
    <row r="17" spans="2:17">
      <c r="O17" s="53"/>
    </row>
    <row r="18" spans="2:17" ht="18.5">
      <c r="B18" s="97" t="s">
        <v>926</v>
      </c>
      <c r="C18" s="62"/>
      <c r="D18" s="62"/>
      <c r="E18" s="99">
        <f>PRODUCT(E3:E16)</f>
        <v>0</v>
      </c>
      <c r="F18" s="28"/>
      <c r="G18" s="28"/>
      <c r="H18" s="28"/>
      <c r="M18" s="102" t="str">
        <f>IF(COUNTIF(M3:M16,"*")&gt;0,"Pathway not chosen",SUM(M3:M16))</f>
        <v>Pathway not chosen</v>
      </c>
      <c r="N18" s="53"/>
      <c r="O18" s="164" t="str">
        <f>IF(Path=Units!$B$131,SUM(O3:O16), IF(Path=Units!$B$133,SUM(O3:O16), IF(OR(Path=Units!$B$132, Path=Units!$B$134),"Pathway not available from LCA tool","Pathway not chosen")))</f>
        <v>Pathway not chosen</v>
      </c>
      <c r="P18" s="164" t="str">
        <f>IF(Path=Units!$B$131,SUM(P3:P16), IF(Path=Units!$B$133,SUM(P3:P16), IF(OR(Path=Units!$B$132, Path=Units!$B$134),"Pathway not available from LCA tool","Pathway not chosen")))</f>
        <v>Pathway not chosen</v>
      </c>
      <c r="Q18" s="164" t="str">
        <f>IF(Path=Units!$B$131,SUM(Q3:Q16), IF(Path=Units!$B$133,SUM(Q3:Q16), IF(OR(Path=Units!$B$132, Path=Units!$B$134),"Pathway not available from LCA tool","Pathway not chosen")))</f>
        <v>Pathway not chosen</v>
      </c>
    </row>
    <row r="19" spans="2:17" ht="18.5">
      <c r="B19" s="97" t="s">
        <v>927</v>
      </c>
      <c r="C19" s="62"/>
      <c r="D19" s="62"/>
      <c r="M19" s="103">
        <v>20</v>
      </c>
      <c r="O19" s="700" t="s">
        <v>955</v>
      </c>
      <c r="P19" s="700"/>
      <c r="Q19" s="700"/>
    </row>
    <row r="20" spans="2:17">
      <c r="O20" s="700"/>
      <c r="P20" s="700"/>
      <c r="Q20" s="700"/>
    </row>
    <row r="21" spans="2:17">
      <c r="O21" s="700"/>
      <c r="P21" s="700"/>
      <c r="Q21" s="700"/>
    </row>
    <row r="24" spans="2:17">
      <c r="O24" s="275"/>
    </row>
  </sheetData>
  <customSheetViews>
    <customSheetView guid="{2D920366-22B2-4182-A65D-0EDBE614FB37}" showGridLines="0">
      <pane xSplit="3" topLeftCell="D1" activePane="topRight" state="frozen"/>
      <selection pane="topRight"/>
      <pageMargins left="0" right="0" top="0" bottom="0" header="0" footer="0"/>
      <pageSetup paperSize="9" orientation="portrait" verticalDpi="0" r:id="rId1"/>
    </customSheetView>
    <customSheetView guid="{F468A2FD-7987-4A9D-8BAE-1AACE523607F}" showGridLines="0" state="hidden">
      <pane xSplit="3" topLeftCell="D1" activePane="topRight" state="frozen"/>
      <selection pane="topRight"/>
      <pageMargins left="0" right="0" top="0" bottom="0" header="0" footer="0"/>
      <pageSetup paperSize="9" orientation="portrait" verticalDpi="0" r:id="rId2"/>
    </customSheetView>
    <customSheetView guid="{D97B1299-69D0-4EE0-B673-CCF74742F96B}" state="hidden">
      <selection activeCell="D2" sqref="D2"/>
      <pageMargins left="0" right="0" top="0" bottom="0" header="0" footer="0"/>
      <pageSetup paperSize="9" orientation="portrait" verticalDpi="0" r:id="rId3"/>
    </customSheetView>
    <customSheetView guid="{3F0A4FBA-5323-448F-A023-B3E14C54064C}" showGridLines="0" state="hidden">
      <pane xSplit="3" topLeftCell="D1" activePane="topRight" state="frozen"/>
      <selection pane="topRight" activeCell="D2" sqref="D2"/>
      <pageMargins left="0" right="0" top="0" bottom="0" header="0" footer="0"/>
      <pageSetup paperSize="9" orientation="portrait" verticalDpi="0" r:id="rId4"/>
    </customSheetView>
    <customSheetView guid="{E6EFD927-84B2-4D06-BB59-59D9DF522DA2}" showGridLines="0" state="hidden">
      <pane xSplit="3" topLeftCell="D1" activePane="topRight" state="frozen"/>
      <selection pane="topRight"/>
      <pageMargins left="0" right="0" top="0" bottom="0" header="0" footer="0"/>
      <pageSetup paperSize="9" orientation="portrait" verticalDpi="0" r:id="rId5"/>
    </customSheetView>
    <customSheetView guid="{0E935136-9A80-44B6-88D5-61E64D742049}" showGridLines="0" state="hidden">
      <pane xSplit="3" topLeftCell="D1" activePane="topRight" state="frozen"/>
      <selection pane="topRight"/>
      <pageMargins left="0" right="0" top="0" bottom="0" header="0" footer="0"/>
      <pageSetup paperSize="9" orientation="portrait" verticalDpi="0" r:id="rId6"/>
    </customSheetView>
    <customSheetView guid="{1C16EB38-F785-4168-9938-104594734038}" showGridLines="0">
      <pane xSplit="3" topLeftCell="D1" activePane="topRight" state="frozen"/>
      <selection pane="topRight"/>
      <pageMargins left="0" right="0" top="0" bottom="0" header="0" footer="0"/>
      <pageSetup paperSize="9" orientation="portrait" verticalDpi="0" r:id="rId7"/>
    </customSheetView>
    <customSheetView guid="{EECBF9DF-6D77-4263-85DA-71E40216BADD}" showGridLines="0" state="hidden">
      <pane xSplit="3" topLeftCell="D1" activePane="topRight" state="frozen"/>
      <selection pane="topRight"/>
      <pageMargins left="0" right="0" top="0" bottom="0" header="0" footer="0"/>
      <pageSetup paperSize="9" orientation="portrait" verticalDpi="0" r:id="rId8"/>
    </customSheetView>
    <customSheetView guid="{F03309BC-D3FA-4CF2-833B-D6D9A95FE1FB}" showGridLines="0" state="hidden">
      <pane xSplit="3" topLeftCell="D1" activePane="topRight" state="frozen"/>
      <selection pane="topRight" activeCell="D2" sqref="D2"/>
      <pageMargins left="0" right="0" top="0" bottom="0" header="0" footer="0"/>
      <pageSetup paperSize="9" orientation="portrait" verticalDpi="0" r:id="rId9"/>
    </customSheetView>
  </customSheetViews>
  <mergeCells count="14">
    <mergeCell ref="O19:Q21"/>
    <mergeCell ref="B9:B14"/>
    <mergeCell ref="E9:E14"/>
    <mergeCell ref="O5:O8"/>
    <mergeCell ref="P5:P8"/>
    <mergeCell ref="L5:L8"/>
    <mergeCell ref="F9:F14"/>
    <mergeCell ref="I9:I14"/>
    <mergeCell ref="J9:J14"/>
    <mergeCell ref="C15:C16"/>
    <mergeCell ref="C3:C8"/>
    <mergeCell ref="D5:D8"/>
    <mergeCell ref="Q3:Q8"/>
    <mergeCell ref="M3:M8"/>
  </mergeCells>
  <pageMargins left="0" right="0" top="0" bottom="0" header="0" footer="0"/>
  <pageSetup paperSize="9" orientation="portrait" verticalDpi="0" r:id="rId10"/>
  <extLst>
    <ext xmlns:x14="http://schemas.microsoft.com/office/spreadsheetml/2009/9/main" uri="{78C0D931-6437-407d-A8EE-F0AAD7539E65}">
      <x14:conditionalFormattings>
        <x14:conditionalFormatting xmlns:xm="http://schemas.microsoft.com/office/excel/2006/main">
          <x14:cfRule type="expression" priority="23" id="{A7F86969-0A1D-447E-92FB-59393754EF8C}">
            <xm:f>AND(Path&lt;&gt;Units!$B$131,Path&lt;&gt;Units!$B$132, Path&lt;&gt;Units!$B$133,Path&lt;&gt;Units!$B$134,Master_Switch="On")</xm:f>
            <x14:dxf>
              <font>
                <color theme="0"/>
              </font>
              <fill>
                <patternFill>
                  <bgColor theme="0"/>
                </patternFill>
              </fill>
              <border>
                <left/>
                <right/>
                <top/>
                <bottom/>
                <vertical/>
                <horizontal/>
              </border>
            </x14:dxf>
          </x14:cfRule>
          <xm:sqref>A2:XFD100</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A73D8-1109-4307-8A36-86143D41711A}">
  <sheetPr codeName="Sheet13">
    <tabColor rgb="FFFF66CC"/>
  </sheetPr>
  <dimension ref="A1:Q23"/>
  <sheetViews>
    <sheetView showGridLines="0" zoomScaleNormal="100" workbookViewId="0">
      <pane xSplit="3" topLeftCell="D1" activePane="topRight" state="frozen"/>
      <selection pane="topRight"/>
    </sheetView>
  </sheetViews>
  <sheetFormatPr defaultColWidth="8.81640625" defaultRowHeight="14.5"/>
  <cols>
    <col min="1" max="1" width="4.54296875" customWidth="1"/>
    <col min="2" max="2" width="32.453125" customWidth="1"/>
    <col min="3" max="3" width="30.54296875" customWidth="1"/>
    <col min="4" max="4" width="29.26953125" customWidth="1"/>
    <col min="5" max="5" width="15.81640625" customWidth="1"/>
    <col min="6" max="6" width="31.81640625" customWidth="1"/>
    <col min="7" max="7" width="28.54296875" customWidth="1"/>
    <col min="8" max="8" width="30.453125" customWidth="1"/>
    <col min="9" max="10" width="26.81640625" customWidth="1"/>
    <col min="11" max="11" width="35.1796875" customWidth="1"/>
    <col min="12" max="12" width="20.81640625" customWidth="1"/>
    <col min="13" max="13" width="29" customWidth="1"/>
    <col min="15" max="15" width="30.1796875" customWidth="1"/>
    <col min="16" max="16" width="28.81640625" customWidth="1"/>
    <col min="17" max="17" width="28.54296875" customWidth="1"/>
  </cols>
  <sheetData>
    <row r="1" spans="1:17" ht="31">
      <c r="A1" s="80" t="str">
        <f>IF(AND(Path&lt;&gt;Units!$B$135,Path&lt;&gt;Units!$B$136,Master_Switch="On"),"User should not use this worksheet, but switch to a non-blank GHG summary worksheet","")</f>
        <v>User should not use this worksheet, but switch to a non-blank GHG summary worksheet</v>
      </c>
    </row>
    <row r="2" spans="1:17" ht="84.65" customHeight="1">
      <c r="B2" s="106" t="s">
        <v>900</v>
      </c>
      <c r="C2" s="106" t="s">
        <v>901</v>
      </c>
      <c r="D2" s="106" t="s">
        <v>902</v>
      </c>
      <c r="E2" s="106" t="s">
        <v>903</v>
      </c>
      <c r="F2" s="106" t="s">
        <v>904</v>
      </c>
      <c r="G2" s="106" t="s">
        <v>905</v>
      </c>
      <c r="H2" s="106" t="s">
        <v>906</v>
      </c>
      <c r="I2" s="106" t="s">
        <v>907</v>
      </c>
      <c r="J2" s="106" t="s">
        <v>908</v>
      </c>
      <c r="K2" s="106" t="s">
        <v>909</v>
      </c>
      <c r="L2" s="106" t="s">
        <v>910</v>
      </c>
      <c r="M2" s="106" t="s">
        <v>911</v>
      </c>
      <c r="O2" s="175" t="s">
        <v>956</v>
      </c>
      <c r="P2" s="175" t="s">
        <v>957</v>
      </c>
      <c r="Q2" s="175" t="s">
        <v>958</v>
      </c>
    </row>
    <row r="3" spans="1:17">
      <c r="B3" s="61" t="s">
        <v>81</v>
      </c>
      <c r="C3" s="686" t="s">
        <v>942</v>
      </c>
      <c r="D3" s="93" t="s">
        <v>951</v>
      </c>
      <c r="E3" s="57" t="str">
        <f>IF(AND(Initial_questions!$E$68&lt;&gt;Units!$T$120, Initial_questions!$E$68&lt;&gt;Units!$T$121, Initial_questions!$E$68&lt;&gt;Units!$T$122, Initial_questions!$E$68&lt;&gt;Units!$T$123), "NA", Biomass_Cultivation!O20)</f>
        <v>NA</v>
      </c>
      <c r="F3" s="170" t="str">
        <f>IF(AND(Initial_questions!$E$68&lt;&gt;Units!$T$120, Initial_questions!$E$68&lt;&gt;Units!$T$121, Initial_questions!$E$68&lt;&gt;Units!$T$122, Initial_questions!$E$68&lt;&gt;Units!$T$123),"NA",F4/E4)</f>
        <v>NA</v>
      </c>
      <c r="G3" s="60">
        <f>Biomass_Cultivation!V39</f>
        <v>0</v>
      </c>
      <c r="H3" s="58" t="str">
        <f>IF(AND(Initial_questions!$E$68&lt;&gt;Units!$T$120, Initial_questions!$E$68&lt;&gt;Units!$T$121, Initial_questions!$E$68&lt;&gt;Units!$T$122, Initial_questions!$E$68&lt;&gt;Units!$T$123),"NA",G3*F3)</f>
        <v>NA</v>
      </c>
      <c r="I3" s="315" t="str">
        <f>IF(AND(Initial_questions!$E$68&lt;&gt;Units!$T$120, Initial_questions!$E$68&lt;&gt;Units!$T$121, Initial_questions!$E$68&lt;&gt;Units!$T$122, Initial_questions!$E$68&lt;&gt;Units!$T$123),"NA",Biomass_Cultivation!R20)</f>
        <v>NA</v>
      </c>
      <c r="J3" s="57" t="str">
        <f>IF(AND(Initial_questions!$E$68&lt;&gt;Units!$T$120, Initial_questions!$E$68&lt;&gt;Units!$T$121, Initial_questions!$E$68&lt;&gt;Units!$T$122, Initial_questions!$E$68&lt;&gt;Units!$T$123),"NA",J4*I3)</f>
        <v>NA</v>
      </c>
      <c r="K3" s="59">
        <f>IF(AND(Initial_questions!$E$68&lt;&gt;Units!$T$120, Initial_questions!$E$68&lt;&gt;Units!$T$121, Initial_questions!$E$68&lt;&gt;Units!$T$122, Initial_questions!$E$68&lt;&gt;Units!$T$123),0,H3*J3)</f>
        <v>0</v>
      </c>
      <c r="L3" s="56" t="s">
        <v>868</v>
      </c>
      <c r="M3" s="711" t="e">
        <f>MAX(0,IF($D$5="Default",L5,SUM(K3:K8)))</f>
        <v>#VALUE!</v>
      </c>
      <c r="O3" s="164" t="s">
        <v>868</v>
      </c>
      <c r="P3" s="164" t="s">
        <v>868</v>
      </c>
      <c r="Q3" s="164" t="s">
        <v>868</v>
      </c>
    </row>
    <row r="4" spans="1:17">
      <c r="B4" s="61" t="s">
        <v>82</v>
      </c>
      <c r="C4" s="687"/>
      <c r="D4" s="93" t="s">
        <v>951</v>
      </c>
      <c r="E4" s="57" t="str">
        <f>IF(AND(Initial_questions!$E$68&lt;&gt;Units!$T$120, Initial_questions!$E$68&lt;&gt;Units!$T$121, Initial_questions!$E$68&lt;&gt;Units!$T$122, Initial_questions!$E$68&lt;&gt;Units!$T$123),"NA",Biomass_Harvesting!O20)</f>
        <v>NA</v>
      </c>
      <c r="F4" s="170" t="e">
        <f>F5/E5</f>
        <v>#VALUE!</v>
      </c>
      <c r="G4" s="60">
        <f>Biomass_Harvesting!V33</f>
        <v>0</v>
      </c>
      <c r="H4" s="58" t="e">
        <f t="shared" ref="H4" si="0">G4*F4</f>
        <v>#VALUE!</v>
      </c>
      <c r="I4" s="315" t="str">
        <f>IF(AND(Initial_questions!$E$68&lt;&gt;Units!$T$120, Initial_questions!$E$68&lt;&gt;Units!$T$121, Initial_questions!$E$68&lt;&gt;Units!$T$122, Initial_questions!$E$68&lt;&gt;Units!$T$123),"NA",Biomass_Harvesting!R20)</f>
        <v>NA</v>
      </c>
      <c r="J4" s="57" t="str">
        <f>IF(AND(Initial_questions!$E$68&lt;&gt;Units!$T$120, Initial_questions!$E$68&lt;&gt;Units!$T$121, Initial_questions!$E$68&lt;&gt;Units!$T$122, Initial_questions!$E$68&lt;&gt;Units!$T$123),"NA",J5*I4)</f>
        <v>NA</v>
      </c>
      <c r="K4" s="59">
        <f>IF(AND(Initial_questions!$E$68&lt;&gt;Units!$T$120, Initial_questions!$E$68&lt;&gt;Units!$T$121, Initial_questions!$E$68&lt;&gt;Units!$T$122, Initial_questions!$E$68&lt;&gt;Units!$T$123),0,H4*J4)</f>
        <v>0</v>
      </c>
      <c r="L4" s="56" t="s">
        <v>868</v>
      </c>
      <c r="M4" s="712"/>
      <c r="O4" s="164" t="s">
        <v>868</v>
      </c>
      <c r="P4" s="164" t="s">
        <v>868</v>
      </c>
      <c r="Q4" s="164" t="s">
        <v>868</v>
      </c>
    </row>
    <row r="5" spans="1:17">
      <c r="B5" s="61" t="s">
        <v>83</v>
      </c>
      <c r="C5" s="687"/>
      <c r="D5" s="706" t="str">
        <f>IF(Initial_questions!E$113="", IF(Initial_questions!E$112="", "User to enter in Initial Qus", Initial_questions!E$112), Initial_questions!E$113)</f>
        <v>User to enter in Initial Qus</v>
      </c>
      <c r="E5" s="57" t="str">
        <f>Biomass_Collection!O20</f>
        <v/>
      </c>
      <c r="F5" s="170" t="e">
        <f>F6/E6</f>
        <v>#VALUE!</v>
      </c>
      <c r="G5" s="60">
        <f>Biomass_Collection!V33</f>
        <v>0</v>
      </c>
      <c r="H5" s="58" t="e">
        <f>G5*F5</f>
        <v>#VALUE!</v>
      </c>
      <c r="I5" s="315" t="str">
        <f>Biomass_Collection!R20</f>
        <v/>
      </c>
      <c r="J5" s="57" t="e">
        <f>J6*I5</f>
        <v>#VALUE!</v>
      </c>
      <c r="K5" s="59" t="e">
        <f>H5*J5</f>
        <v>#VALUE!</v>
      </c>
      <c r="L5" s="680" t="str" cm="1">
        <f t="array" ref="L5">IF(Initial_questions!$E$111="No", "Feedstock does not match default", IF(OR(Path=Units!$B$135:$B$136),'Default data'!$D$21,"Pathway not chosen"))</f>
        <v>Pathway not chosen</v>
      </c>
      <c r="M5" s="712"/>
      <c r="O5" s="701" t="str">
        <f>IF(Path=Units!$B$135,'Default data'!E$21,IF(Path=Units!$B$136, "Pathway not available from LCA tool", "Pathway not chosen"))</f>
        <v>Pathway not chosen</v>
      </c>
      <c r="P5" s="701" t="str">
        <f>IF(Path=Units!$B$135,'Default data'!F$21,IF(Path=Units!$B$136, "Pathway not available from LCA tool", "Pathway not chosen"))</f>
        <v>Pathway not chosen</v>
      </c>
      <c r="Q5" s="701" t="str">
        <f>IF(Path=Units!$B$135,'Default data'!G$21,IF(Path=Units!$B$136, "Pathway not available from LCA tool", "Pathway not chosen"))</f>
        <v>Pathway not chosen</v>
      </c>
    </row>
    <row r="6" spans="1:17">
      <c r="B6" s="61" t="s">
        <v>84</v>
      </c>
      <c r="C6" s="687"/>
      <c r="D6" s="707"/>
      <c r="E6" s="57" t="str">
        <f>Biomass_Transport!O20</f>
        <v/>
      </c>
      <c r="F6" s="170" t="e">
        <f>F7/E7</f>
        <v>#VALUE!</v>
      </c>
      <c r="G6" s="60">
        <f>Biomass_Transport!V33</f>
        <v>0</v>
      </c>
      <c r="H6" s="58" t="e">
        <f t="shared" ref="H6:H8" si="1">G6*F6</f>
        <v>#VALUE!</v>
      </c>
      <c r="I6" s="315" t="str">
        <f>Biomass_Transport!R20</f>
        <v/>
      </c>
      <c r="J6" s="57" t="e">
        <f t="shared" ref="J6" si="2">J7*I6</f>
        <v>#VALUE!</v>
      </c>
      <c r="K6" s="59" t="e">
        <f t="shared" ref="K6:K8" si="3">H6*J6</f>
        <v>#VALUE!</v>
      </c>
      <c r="L6" s="681"/>
      <c r="M6" s="712"/>
      <c r="O6" s="702"/>
      <c r="P6" s="702"/>
      <c r="Q6" s="702"/>
    </row>
    <row r="7" spans="1:17">
      <c r="B7" s="61" t="s">
        <v>85</v>
      </c>
      <c r="C7" s="687"/>
      <c r="D7" s="707"/>
      <c r="E7" s="57" t="str">
        <f>'Biomass_Pre-Processing'!O20</f>
        <v/>
      </c>
      <c r="F7" s="170" t="e">
        <f>F8/E8</f>
        <v>#VALUE!</v>
      </c>
      <c r="G7" s="60">
        <f>'Biomass_Pre-Processing'!V36</f>
        <v>0</v>
      </c>
      <c r="H7" s="58" t="e">
        <f t="shared" si="1"/>
        <v>#VALUE!</v>
      </c>
      <c r="I7" s="315" t="str">
        <f>'Biomass_Pre-Processing'!R20</f>
        <v/>
      </c>
      <c r="J7" s="57" t="e">
        <f>J8*I7</f>
        <v>#VALUE!</v>
      </c>
      <c r="K7" s="59" t="e">
        <f t="shared" si="3"/>
        <v>#VALUE!</v>
      </c>
      <c r="L7" s="681"/>
      <c r="M7" s="712"/>
      <c r="O7" s="702"/>
      <c r="P7" s="702"/>
      <c r="Q7" s="702"/>
    </row>
    <row r="8" spans="1:17">
      <c r="B8" s="61" t="s">
        <v>86</v>
      </c>
      <c r="C8" s="688"/>
      <c r="D8" s="708"/>
      <c r="E8" s="57" t="str">
        <f>Biomass_Further_Transport!O20</f>
        <v/>
      </c>
      <c r="F8" s="170" t="e">
        <f>F9/E9</f>
        <v>#VALUE!</v>
      </c>
      <c r="G8" s="60">
        <f>Biomass_Further_Transport!V33</f>
        <v>0</v>
      </c>
      <c r="H8" s="58" t="e">
        <f t="shared" si="1"/>
        <v>#VALUE!</v>
      </c>
      <c r="I8" s="315" t="str">
        <f>Biomass_Further_Transport!R20</f>
        <v/>
      </c>
      <c r="J8" s="57" t="e">
        <f>J9*I8</f>
        <v>#VALUE!</v>
      </c>
      <c r="K8" s="59" t="e">
        <f t="shared" si="3"/>
        <v>#VALUE!</v>
      </c>
      <c r="L8" s="682"/>
      <c r="M8" s="713"/>
      <c r="O8" s="703"/>
      <c r="P8" s="703"/>
      <c r="Q8" s="703"/>
    </row>
    <row r="9" spans="1:17">
      <c r="B9" s="686" t="s">
        <v>959</v>
      </c>
      <c r="C9" s="61" t="s">
        <v>128</v>
      </c>
      <c r="D9" s="313" t="str">
        <f>IF(Initial_questions!E$114="", IF(Initial_questions!E$112="", "User to enter in Initial Qus", Initial_questions!E$112), Initial_questions!E$114)</f>
        <v>User to enter in Initial Qus</v>
      </c>
      <c r="E9" s="677" t="str">
        <f>Biomass_Gasification_CCS!O9</f>
        <v/>
      </c>
      <c r="F9" s="680">
        <v>1</v>
      </c>
      <c r="G9" s="60">
        <f>Biomass_Gasification_CCS!V20</f>
        <v>0</v>
      </c>
      <c r="H9" s="58">
        <f>G9*$F$9</f>
        <v>0</v>
      </c>
      <c r="I9" s="720" t="str">
        <f>Biomass_Gasification_CCS!R9</f>
        <v/>
      </c>
      <c r="J9" s="677" t="str">
        <f>I9</f>
        <v/>
      </c>
      <c r="K9" s="59" t="e">
        <f>H9*$J$9</f>
        <v>#VALUE!</v>
      </c>
      <c r="L9" s="170" t="str" cm="1">
        <f t="array" ref="L9">IF(Initial_questions!$E$111="No", "Feedstock does not match default", IF(OR(Path=Units!$B$135:$B$136),'Default data'!$D$37,"Pathway not chosen"))</f>
        <v>Pathway not chosen</v>
      </c>
      <c r="M9" s="314" t="e">
        <f>IF(D9="Default",L9,K9)</f>
        <v>#VALUE!</v>
      </c>
      <c r="O9" s="164" t="str">
        <f>IF(Path=Units!$B$135,'Default data'!E$37,IF(Path=Units!$B$136, "Pathway not available from LCA tool","Pathway not chosen"))</f>
        <v>Pathway not chosen</v>
      </c>
      <c r="P9" s="164" t="str">
        <f>IF(Path=Units!$B$135,'Default data'!F$37,IF(Path=Units!$B$136, "Pathway not available from LCA tool","Pathway not chosen"))</f>
        <v>Pathway not chosen</v>
      </c>
      <c r="Q9" s="164" t="str">
        <f>IF(Path=Units!$B$135,'Default data'!G$37,IF(Path=Units!$B$136, "Pathway not available from LCA tool","Pathway not chosen"))</f>
        <v>Pathway not chosen</v>
      </c>
    </row>
    <row r="10" spans="1:17">
      <c r="B10" s="687"/>
      <c r="C10" s="61" t="s">
        <v>129</v>
      </c>
      <c r="D10" s="313" t="str">
        <f>IF(Initial_questions!E$115="", IF(Initial_questions!E$112="", "User to enter in Initial Qus", Initial_questions!E$112), Initial_questions!E$115)</f>
        <v>User to enter in Initial Qus</v>
      </c>
      <c r="E10" s="678"/>
      <c r="F10" s="681"/>
      <c r="G10" s="60">
        <f>Biomass_Gasification_CCS!V33</f>
        <v>0</v>
      </c>
      <c r="H10" s="58">
        <f t="shared" ref="H10:H14" si="4">G10*$F$9</f>
        <v>0</v>
      </c>
      <c r="I10" s="721"/>
      <c r="J10" s="678"/>
      <c r="K10" s="59" t="e">
        <f t="shared" ref="K10:K14" si="5">H10*$J$9</f>
        <v>#VALUE!</v>
      </c>
      <c r="L10" s="170" t="str" cm="1">
        <f t="array" ref="L10">IF(Initial_questions!$E$111="No", "Feedstock does not match default", IF(OR(Path=Units!$B$135:$B$136),'Default data'!$D$53,"Pathway not chosen"))</f>
        <v>Pathway not chosen</v>
      </c>
      <c r="M10" s="314" t="e">
        <f>IF(D10="Default",L10,K10)</f>
        <v>#VALUE!</v>
      </c>
      <c r="O10" s="164" t="str">
        <f>IF(Path=Units!$B$135,'Default data'!E$53,IF(Path=Units!$B$136, "Pathway not available from LCA tool","Pathway not chosen"))</f>
        <v>Pathway not chosen</v>
      </c>
      <c r="P10" s="164" t="str">
        <f>IF(Path=Units!$B$135,'Default data'!F$53,IF(Path=Units!$B$136, "Pathway not available from LCA tool","Pathway not chosen"))</f>
        <v>Pathway not chosen</v>
      </c>
      <c r="Q10" s="164" t="str">
        <f>IF(Path=Units!$B$135,'Default data'!G$53,IF(Path=Units!$B$136, "Pathway not available from LCA tool","Pathway not chosen"))</f>
        <v>Pathway not chosen</v>
      </c>
    </row>
    <row r="11" spans="1:17" ht="16.5">
      <c r="B11" s="687"/>
      <c r="C11" s="61" t="s">
        <v>915</v>
      </c>
      <c r="D11" s="61" t="s">
        <v>916</v>
      </c>
      <c r="E11" s="678"/>
      <c r="F11" s="681"/>
      <c r="G11" s="60">
        <f>Biomass_Gasification_CCS!V45</f>
        <v>0</v>
      </c>
      <c r="H11" s="58">
        <f>G11*$F$9</f>
        <v>0</v>
      </c>
      <c r="I11" s="721"/>
      <c r="J11" s="678"/>
      <c r="K11" s="59" t="e">
        <f t="shared" si="5"/>
        <v>#VALUE!</v>
      </c>
      <c r="L11" s="56" t="s">
        <v>868</v>
      </c>
      <c r="M11" s="314" t="e">
        <f>IF(D11="Default",L11,K11)</f>
        <v>#VALUE!</v>
      </c>
      <c r="O11" s="164" t="str">
        <f>IF(Path=Units!$B$135,'Default data'!E$69,IF(Path=Units!$B$136, "Pathway not available from LCA tool","Pathway not chosen"))</f>
        <v>Pathway not chosen</v>
      </c>
      <c r="P11" s="164" t="str">
        <f>IF(Path=Units!$B$135,'Default data'!F$69,IF(Path=Units!$B$136, "Pathway not available from LCA tool","Pathway not chosen"))</f>
        <v>Pathway not chosen</v>
      </c>
      <c r="Q11" s="164" t="str">
        <f>IF(Path=Units!$B$135,'Default data'!G$69,IF(Path=Units!$B$136, "Pathway not available from LCA tool","Pathway not chosen"))</f>
        <v>Pathway not chosen</v>
      </c>
    </row>
    <row r="12" spans="1:17" ht="16.5">
      <c r="B12" s="687"/>
      <c r="C12" s="93" t="s">
        <v>917</v>
      </c>
      <c r="D12" s="61" t="s">
        <v>916</v>
      </c>
      <c r="E12" s="678"/>
      <c r="F12" s="681"/>
      <c r="G12" s="60">
        <f>Biomass_Gasification_CCS!V52</f>
        <v>0</v>
      </c>
      <c r="H12" s="58">
        <f t="shared" si="4"/>
        <v>0</v>
      </c>
      <c r="I12" s="721"/>
      <c r="J12" s="678"/>
      <c r="K12" s="59" t="e">
        <f t="shared" si="5"/>
        <v>#VALUE!</v>
      </c>
      <c r="L12" s="56" t="s">
        <v>868</v>
      </c>
      <c r="M12" s="314" t="e">
        <f>IF(D12="Default",L12,K12)</f>
        <v>#VALUE!</v>
      </c>
      <c r="O12" s="164" t="str">
        <f>IF(Path=Units!$B$135,'Default data'!E$85,IF(Path=Units!$B$136, "Pathway not available from LCA tool","Pathway not chosen"))</f>
        <v>Pathway not chosen</v>
      </c>
      <c r="P12" s="164" t="str">
        <f>IF(Path=Units!$B$135,'Default data'!F$85,IF(Path=Units!$B$136, "Pathway not available from LCA tool","Pathway not chosen"))</f>
        <v>Pathway not chosen</v>
      </c>
      <c r="Q12" s="164" t="str">
        <f>IF(Path=Units!$B$135,'Default data'!G$85,IF(Path=Units!$B$136, "Pathway not available from LCA tool","Pathway not chosen"))</f>
        <v>Pathway not chosen</v>
      </c>
    </row>
    <row r="13" spans="1:17" ht="16.5">
      <c r="B13" s="687"/>
      <c r="C13" s="93" t="s">
        <v>918</v>
      </c>
      <c r="D13" s="61" t="s">
        <v>916</v>
      </c>
      <c r="E13" s="678"/>
      <c r="F13" s="681"/>
      <c r="G13" s="60">
        <f>Biomass_Gasification_CCS!V60</f>
        <v>0</v>
      </c>
      <c r="H13" s="58">
        <f t="shared" si="4"/>
        <v>0</v>
      </c>
      <c r="I13" s="721"/>
      <c r="J13" s="678"/>
      <c r="K13" s="59" t="e">
        <f t="shared" si="5"/>
        <v>#VALUE!</v>
      </c>
      <c r="L13" s="56" t="s">
        <v>868</v>
      </c>
      <c r="M13" s="314" t="e">
        <f t="shared" ref="M13" si="6">IF(D13="Default",L13,K13)</f>
        <v>#VALUE!</v>
      </c>
      <c r="O13" s="164" t="str">
        <f>IF(Path=Units!$B$135,'Default data'!E$101,IF(Path=Units!$B$136, "Pathway not available from LCA tool","Pathway not chosen"))</f>
        <v>Pathway not chosen</v>
      </c>
      <c r="P13" s="164" t="str">
        <f>IF(Path=Units!$B$135,'Default data'!F$101,IF(Path=Units!$B$136, "Pathway not available from LCA tool","Pathway not chosen"))</f>
        <v>Pathway not chosen</v>
      </c>
      <c r="Q13" s="164" t="str">
        <f>IF(Path=Units!$B$135,'Default data'!G$101,IF(Path=Units!$B$136, "Pathway not available from LCA tool","Pathway not chosen"))</f>
        <v>Pathway not chosen</v>
      </c>
    </row>
    <row r="14" spans="1:17" ht="16.5">
      <c r="B14" s="688"/>
      <c r="C14" s="61" t="s">
        <v>919</v>
      </c>
      <c r="D14" s="61" t="s">
        <v>916</v>
      </c>
      <c r="E14" s="679"/>
      <c r="F14" s="682"/>
      <c r="G14" s="60">
        <f>Biomass_Gasification_CCS!V67</f>
        <v>0</v>
      </c>
      <c r="H14" s="58">
        <f t="shared" si="4"/>
        <v>0</v>
      </c>
      <c r="I14" s="722"/>
      <c r="J14" s="679"/>
      <c r="K14" s="59" t="e">
        <f t="shared" si="5"/>
        <v>#VALUE!</v>
      </c>
      <c r="L14" s="56" t="s">
        <v>868</v>
      </c>
      <c r="M14" s="314" t="e">
        <f>IF(D14="Default",L14,K14)</f>
        <v>#VALUE!</v>
      </c>
      <c r="O14" s="164" t="str">
        <f>IF(Path=Units!$B$135,'Default data'!E$117,IF(Path=Units!$B$136, "Pathway not available from LCA tool","Pathway not chosen"))</f>
        <v>Pathway not chosen</v>
      </c>
      <c r="P14" s="164" t="str">
        <f>IF(Path=Units!$B$135,'Default data'!F$117,IF(Path=Units!$B$136, "Pathway not available from LCA tool","Pathway not chosen"))</f>
        <v>Pathway not chosen</v>
      </c>
      <c r="Q14" s="164" t="str">
        <f>IF(Path=Units!$B$135,'Default data'!G$117,IF(Path=Units!$B$136, "Pathway not available from LCA tool","Pathway not chosen"))</f>
        <v>Pathway not chosen</v>
      </c>
    </row>
    <row r="15" spans="1:17" ht="29">
      <c r="B15" s="61" t="s">
        <v>920</v>
      </c>
      <c r="C15" s="689" t="s">
        <v>921</v>
      </c>
      <c r="D15" s="545" t="s">
        <v>922</v>
      </c>
      <c r="E15" s="62"/>
      <c r="F15" s="62"/>
      <c r="G15" s="62"/>
      <c r="H15" s="62"/>
      <c r="I15" s="62"/>
      <c r="J15" s="62"/>
      <c r="K15" s="62"/>
      <c r="L15" s="522" t="str">
        <f>'Typical data'!$D$331</f>
        <v>Yet to provide pressure or electricity source</v>
      </c>
      <c r="M15" s="521" t="str">
        <f>L15</f>
        <v>Yet to provide pressure or electricity source</v>
      </c>
      <c r="O15" s="164" t="s">
        <v>923</v>
      </c>
      <c r="P15" s="164" t="s">
        <v>923</v>
      </c>
      <c r="Q15" s="164" t="s">
        <v>923</v>
      </c>
    </row>
    <row r="16" spans="1:17" ht="29">
      <c r="B16" s="61" t="s">
        <v>924</v>
      </c>
      <c r="C16" s="690"/>
      <c r="D16" s="545" t="s">
        <v>925</v>
      </c>
      <c r="E16" s="62"/>
      <c r="F16" s="62"/>
      <c r="G16" s="62"/>
      <c r="H16" s="62"/>
      <c r="I16" s="62"/>
      <c r="J16" s="62"/>
      <c r="K16" s="62"/>
      <c r="L16" s="524" t="str">
        <f>'Typical data'!$D$349</f>
        <v>Yet to provide electricity source</v>
      </c>
      <c r="M16" s="521" t="str">
        <f>L16</f>
        <v>Yet to provide electricity source</v>
      </c>
      <c r="O16" s="164" t="s">
        <v>923</v>
      </c>
      <c r="P16" s="164" t="s">
        <v>923</v>
      </c>
      <c r="Q16" s="164" t="s">
        <v>923</v>
      </c>
    </row>
    <row r="17" spans="2:17">
      <c r="O17" s="53"/>
    </row>
    <row r="18" spans="2:17" ht="18.5">
      <c r="B18" s="97" t="s">
        <v>926</v>
      </c>
      <c r="C18" s="98"/>
      <c r="D18" s="98"/>
      <c r="E18" s="99">
        <f>PRODUCT(E3:E16)</f>
        <v>0</v>
      </c>
      <c r="F18" s="100"/>
      <c r="G18" s="100"/>
      <c r="H18" s="100"/>
      <c r="I18" s="101"/>
      <c r="J18" s="101"/>
      <c r="K18" s="101"/>
      <c r="L18" s="101"/>
      <c r="M18" s="102" t="str">
        <f>IF(COUNTIF(M3:M16,"*")&gt;0,"Pathway not chosen",SUM(M3:M16))</f>
        <v>Pathway not chosen</v>
      </c>
      <c r="N18" s="53"/>
      <c r="O18" s="164" t="str">
        <f>IF(Path=Units!$B$135,'Default data'!E$149,IF(Path=Units!$B$136, "Pathway not available from LCA tool","Pathway not chosen"))</f>
        <v>Pathway not chosen</v>
      </c>
      <c r="P18" s="164" t="str">
        <f>IF(Path=Units!$B$135,'Default data'!F$149,IF(Path=Units!$B$136, "Pathway not available from LCA tool","Pathway not chosen"))</f>
        <v>Pathway not chosen</v>
      </c>
      <c r="Q18" s="164" t="str">
        <f>IF(Path=Units!$B$135,'Default data'!G$149,IF(Path=Units!$B$136, "Pathway not available from LCA tool","Pathway not chosen"))</f>
        <v>Pathway not chosen</v>
      </c>
    </row>
    <row r="19" spans="2:17" ht="18.5">
      <c r="B19" s="97" t="s">
        <v>927</v>
      </c>
      <c r="C19" s="98"/>
      <c r="D19" s="98"/>
      <c r="E19" s="101"/>
      <c r="F19" s="101"/>
      <c r="G19" s="101"/>
      <c r="H19" s="101"/>
      <c r="I19" s="101"/>
      <c r="J19" s="101"/>
      <c r="K19" s="101"/>
      <c r="L19" s="101"/>
      <c r="M19" s="103">
        <v>20</v>
      </c>
      <c r="O19" s="700" t="s">
        <v>960</v>
      </c>
      <c r="P19" s="700"/>
      <c r="Q19" s="700"/>
    </row>
    <row r="20" spans="2:17">
      <c r="O20" s="700"/>
      <c r="P20" s="700"/>
      <c r="Q20" s="700"/>
    </row>
    <row r="21" spans="2:17">
      <c r="O21" s="700"/>
      <c r="P21" s="700"/>
      <c r="Q21" s="700"/>
    </row>
    <row r="23" spans="2:17">
      <c r="O23" s="275"/>
    </row>
  </sheetData>
  <customSheetViews>
    <customSheetView guid="{2D920366-22B2-4182-A65D-0EDBE614FB37}" showGridLines="0">
      <pane xSplit="3" topLeftCell="D1" activePane="topRight" state="frozen"/>
      <selection pane="topRight"/>
      <pageMargins left="0" right="0" top="0" bottom="0" header="0" footer="0"/>
      <pageSetup paperSize="9" orientation="portrait" r:id="rId1"/>
    </customSheetView>
    <customSheetView guid="{F468A2FD-7987-4A9D-8BAE-1AACE523607F}" showGridLines="0" state="hidden">
      <pane xSplit="3" topLeftCell="D1" activePane="topRight" state="frozen"/>
      <selection pane="topRight"/>
      <pageMargins left="0" right="0" top="0" bottom="0" header="0" footer="0"/>
      <pageSetup paperSize="9" orientation="portrait" r:id="rId2"/>
    </customSheetView>
    <customSheetView guid="{D97B1299-69D0-4EE0-B673-CCF74742F96B}" state="hidden">
      <selection activeCell="D2" sqref="D2"/>
      <pageMargins left="0" right="0" top="0" bottom="0" header="0" footer="0"/>
      <pageSetup paperSize="9" orientation="portrait" r:id="rId3"/>
    </customSheetView>
    <customSheetView guid="{3F0A4FBA-5323-448F-A023-B3E14C54064C}" showGridLines="0" state="hidden">
      <pane xSplit="3" topLeftCell="D1" activePane="topRight" state="frozen"/>
      <selection pane="topRight" activeCell="D2" sqref="D2"/>
      <pageMargins left="0" right="0" top="0" bottom="0" header="0" footer="0"/>
      <pageSetup paperSize="9" orientation="portrait" r:id="rId4"/>
    </customSheetView>
    <customSheetView guid="{E6EFD927-84B2-4D06-BB59-59D9DF522DA2}" showGridLines="0">
      <pane xSplit="3" topLeftCell="D1" activePane="topRight" state="frozen"/>
      <selection pane="topRight"/>
      <pageMargins left="0" right="0" top="0" bottom="0" header="0" footer="0"/>
      <pageSetup paperSize="9" orientation="portrait" r:id="rId5"/>
    </customSheetView>
    <customSheetView guid="{0E935136-9A80-44B6-88D5-61E64D742049}" showGridLines="0" state="hidden">
      <pane xSplit="3" topLeftCell="D1" activePane="topRight" state="frozen"/>
      <selection pane="topRight"/>
      <pageMargins left="0" right="0" top="0" bottom="0" header="0" footer="0"/>
      <pageSetup paperSize="9" orientation="portrait" r:id="rId6"/>
    </customSheetView>
    <customSheetView guid="{1C16EB38-F785-4168-9938-104594734038}" showGridLines="0" state="hidden">
      <pane xSplit="3" topLeftCell="D1" activePane="topRight" state="frozen"/>
      <selection pane="topRight"/>
      <pageMargins left="0" right="0" top="0" bottom="0" header="0" footer="0"/>
      <pageSetup paperSize="9" orientation="portrait" r:id="rId7"/>
    </customSheetView>
    <customSheetView guid="{EECBF9DF-6D77-4263-85DA-71E40216BADD}" showGridLines="0" state="hidden">
      <pane xSplit="3" topLeftCell="D1" activePane="topRight" state="frozen"/>
      <selection pane="topRight"/>
      <pageMargins left="0" right="0" top="0" bottom="0" header="0" footer="0"/>
      <pageSetup paperSize="9" orientation="portrait" r:id="rId8"/>
    </customSheetView>
    <customSheetView guid="{F03309BC-D3FA-4CF2-833B-D6D9A95FE1FB}" showGridLines="0" state="hidden">
      <pane xSplit="3" topLeftCell="D1" activePane="topRight" state="frozen"/>
      <selection pane="topRight" activeCell="D2" sqref="D2"/>
      <pageMargins left="0" right="0" top="0" bottom="0" header="0" footer="0"/>
      <pageSetup paperSize="9" orientation="portrait" r:id="rId9"/>
    </customSheetView>
  </customSheetViews>
  <mergeCells count="14">
    <mergeCell ref="O19:Q21"/>
    <mergeCell ref="B9:B14"/>
    <mergeCell ref="E9:E14"/>
    <mergeCell ref="O5:O8"/>
    <mergeCell ref="P5:P8"/>
    <mergeCell ref="Q5:Q8"/>
    <mergeCell ref="L5:L8"/>
    <mergeCell ref="F9:F14"/>
    <mergeCell ref="I9:I14"/>
    <mergeCell ref="J9:J14"/>
    <mergeCell ref="C15:C16"/>
    <mergeCell ref="C3:C8"/>
    <mergeCell ref="D5:D8"/>
    <mergeCell ref="M3:M8"/>
  </mergeCells>
  <pageMargins left="0" right="0" top="0" bottom="0" header="0" footer="0"/>
  <pageSetup paperSize="9" orientation="portrait" r:id="rId10"/>
  <extLst>
    <ext xmlns:x14="http://schemas.microsoft.com/office/spreadsheetml/2009/9/main" uri="{78C0D931-6437-407d-A8EE-F0AAD7539E65}">
      <x14:conditionalFormattings>
        <x14:conditionalFormatting xmlns:xm="http://schemas.microsoft.com/office/excel/2006/main">
          <x14:cfRule type="expression" priority="20" id="{195A97A3-B836-469D-A109-FAA6D705B23D}">
            <xm:f>AND(Path&lt;&gt;Units!$B$135,Path&lt;&gt;Units!$B$136,Master_Switch="On")</xm:f>
            <x14:dxf>
              <font>
                <color theme="0"/>
              </font>
              <fill>
                <patternFill patternType="solid">
                  <fgColor theme="0"/>
                  <bgColor theme="0"/>
                </patternFill>
              </fill>
              <border>
                <left/>
                <right/>
                <top/>
                <bottom/>
                <vertical/>
                <horizontal/>
              </border>
            </x14:dxf>
          </x14:cfRule>
          <xm:sqref>A2:XFD100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B33BC-916D-4389-A6F5-F8D4C26EEB0D}">
  <sheetPr codeName="Sheet8">
    <tabColor theme="8" tint="0.59999389629810485"/>
  </sheetPr>
  <dimension ref="B1:C116"/>
  <sheetViews>
    <sheetView showGridLines="0" zoomScaleNormal="100" workbookViewId="0"/>
  </sheetViews>
  <sheetFormatPr defaultColWidth="7.1796875" defaultRowHeight="14.5"/>
  <cols>
    <col min="2" max="2" width="62.1796875" customWidth="1"/>
    <col min="3" max="3" width="166.54296875" customWidth="1"/>
    <col min="7" max="7" width="17.54296875" customWidth="1"/>
    <col min="8" max="8" width="18.453125" customWidth="1"/>
    <col min="9" max="9" width="22.81640625" customWidth="1"/>
  </cols>
  <sheetData>
    <row r="1" spans="2:3">
      <c r="B1" s="28"/>
    </row>
    <row r="2" spans="2:3">
      <c r="B2" s="28" t="s">
        <v>17</v>
      </c>
    </row>
    <row r="3" spans="2:3">
      <c r="B3" s="358" t="s">
        <v>18</v>
      </c>
      <c r="C3" s="31" t="s">
        <v>19</v>
      </c>
    </row>
    <row r="4" spans="2:3">
      <c r="B4" s="297" t="s">
        <v>20</v>
      </c>
      <c r="C4" s="31" t="s">
        <v>21</v>
      </c>
    </row>
    <row r="5" spans="2:3">
      <c r="B5" s="297" t="s">
        <v>22</v>
      </c>
      <c r="C5" s="333" t="s">
        <v>23</v>
      </c>
    </row>
    <row r="6" spans="2:3">
      <c r="B6" s="297" t="s">
        <v>24</v>
      </c>
      <c r="C6" s="333" t="s">
        <v>25</v>
      </c>
    </row>
    <row r="7" spans="2:3">
      <c r="B7" s="297" t="s">
        <v>26</v>
      </c>
      <c r="C7" s="333" t="s">
        <v>27</v>
      </c>
    </row>
    <row r="8" spans="2:3">
      <c r="B8" s="297" t="s">
        <v>28</v>
      </c>
      <c r="C8" s="333" t="s">
        <v>29</v>
      </c>
    </row>
    <row r="9" spans="2:3">
      <c r="B9" s="294" t="s">
        <v>30</v>
      </c>
      <c r="C9" s="333" t="s">
        <v>31</v>
      </c>
    </row>
    <row r="10" spans="2:3">
      <c r="B10" s="355" t="s">
        <v>32</v>
      </c>
      <c r="C10" s="359" t="s">
        <v>33</v>
      </c>
    </row>
    <row r="11" spans="2:3">
      <c r="B11" s="355" t="s">
        <v>34</v>
      </c>
      <c r="C11" s="359" t="s">
        <v>35</v>
      </c>
    </row>
    <row r="12" spans="2:3">
      <c r="B12" s="450" t="s">
        <v>36</v>
      </c>
      <c r="C12" s="359" t="s">
        <v>37</v>
      </c>
    </row>
    <row r="13" spans="2:3">
      <c r="B13" s="267" t="s">
        <v>38</v>
      </c>
      <c r="C13" s="359" t="s">
        <v>39</v>
      </c>
    </row>
    <row r="14" spans="2:3">
      <c r="B14" s="267" t="s">
        <v>40</v>
      </c>
      <c r="C14" s="359" t="s">
        <v>41</v>
      </c>
    </row>
    <row r="15" spans="2:3">
      <c r="B15" s="267" t="s">
        <v>42</v>
      </c>
      <c r="C15" s="359" t="s">
        <v>43</v>
      </c>
    </row>
    <row r="16" spans="2:3">
      <c r="B16" s="182" t="s">
        <v>44</v>
      </c>
      <c r="C16" s="634" t="s">
        <v>45</v>
      </c>
    </row>
    <row r="17" spans="2:3">
      <c r="B17" s="182" t="s">
        <v>46</v>
      </c>
      <c r="C17" s="634"/>
    </row>
    <row r="18" spans="2:3">
      <c r="B18" s="182" t="s">
        <v>47</v>
      </c>
      <c r="C18" s="634"/>
    </row>
    <row r="19" spans="2:3">
      <c r="B19" s="182" t="s">
        <v>48</v>
      </c>
      <c r="C19" s="634"/>
    </row>
    <row r="20" spans="2:3">
      <c r="B20" s="182" t="s">
        <v>49</v>
      </c>
      <c r="C20" s="634"/>
    </row>
    <row r="21" spans="2:3">
      <c r="B21" s="182" t="s">
        <v>50</v>
      </c>
      <c r="C21" s="634"/>
    </row>
    <row r="22" spans="2:3">
      <c r="B22" s="183" t="s">
        <v>51</v>
      </c>
      <c r="C22" s="634"/>
    </row>
    <row r="23" spans="2:3">
      <c r="B23" s="182" t="s">
        <v>52</v>
      </c>
      <c r="C23" s="634"/>
    </row>
    <row r="25" spans="2:3">
      <c r="B25" s="442" t="s">
        <v>53</v>
      </c>
      <c r="C25" s="634" t="s">
        <v>54</v>
      </c>
    </row>
    <row r="26" spans="2:3">
      <c r="B26" s="419" t="s">
        <v>55</v>
      </c>
      <c r="C26" s="634"/>
    </row>
    <row r="27" spans="2:3">
      <c r="B27" s="295"/>
      <c r="C27" s="634"/>
    </row>
    <row r="28" spans="2:3">
      <c r="B28" s="443" t="s">
        <v>56</v>
      </c>
      <c r="C28" s="634"/>
    </row>
    <row r="29" spans="2:3">
      <c r="B29" s="420" t="s">
        <v>57</v>
      </c>
      <c r="C29" s="634"/>
    </row>
    <row r="30" spans="2:3">
      <c r="B30" s="420" t="s">
        <v>58</v>
      </c>
      <c r="C30" s="634"/>
    </row>
    <row r="31" spans="2:3">
      <c r="B31" s="420" t="s">
        <v>59</v>
      </c>
      <c r="C31" s="634"/>
    </row>
    <row r="32" spans="2:3">
      <c r="B32" s="420" t="s">
        <v>60</v>
      </c>
      <c r="C32" s="634"/>
    </row>
    <row r="33" spans="2:3">
      <c r="B33" s="420" t="s">
        <v>61</v>
      </c>
      <c r="C33" s="634"/>
    </row>
    <row r="34" spans="2:3">
      <c r="B34" s="295"/>
      <c r="C34" s="634"/>
    </row>
    <row r="35" spans="2:3">
      <c r="B35" s="443" t="s">
        <v>62</v>
      </c>
      <c r="C35" s="634"/>
    </row>
    <row r="36" spans="2:3">
      <c r="B36" s="602" t="s">
        <v>63</v>
      </c>
      <c r="C36" s="634"/>
    </row>
    <row r="37" spans="2:3">
      <c r="B37" s="602" t="s">
        <v>64</v>
      </c>
      <c r="C37" s="634"/>
    </row>
    <row r="38" spans="2:3">
      <c r="B38" s="602" t="s">
        <v>65</v>
      </c>
      <c r="C38" s="634"/>
    </row>
    <row r="39" spans="2:3">
      <c r="B39" s="602" t="s">
        <v>66</v>
      </c>
      <c r="C39" s="634"/>
    </row>
    <row r="40" spans="2:3">
      <c r="B40" s="602" t="s">
        <v>67</v>
      </c>
      <c r="C40" s="634"/>
    </row>
    <row r="41" spans="2:3">
      <c r="B41" s="602" t="s">
        <v>68</v>
      </c>
      <c r="C41" s="634"/>
    </row>
    <row r="42" spans="2:3">
      <c r="B42" s="603" t="s">
        <v>69</v>
      </c>
      <c r="C42" s="634"/>
    </row>
    <row r="43" spans="2:3">
      <c r="B43" s="295"/>
      <c r="C43" s="634"/>
    </row>
    <row r="44" spans="2:3">
      <c r="B44" s="443" t="s">
        <v>70</v>
      </c>
      <c r="C44" s="634"/>
    </row>
    <row r="45" spans="2:3">
      <c r="B45" s="420" t="s">
        <v>57</v>
      </c>
      <c r="C45" s="634"/>
    </row>
    <row r="46" spans="2:3">
      <c r="B46" s="420" t="s">
        <v>58</v>
      </c>
      <c r="C46" s="634"/>
    </row>
    <row r="47" spans="2:3">
      <c r="B47" s="420" t="s">
        <v>59</v>
      </c>
      <c r="C47" s="634"/>
    </row>
    <row r="48" spans="2:3">
      <c r="B48" s="420" t="s">
        <v>60</v>
      </c>
      <c r="C48" s="634"/>
    </row>
    <row r="49" spans="2:3">
      <c r="B49" s="570" t="s">
        <v>71</v>
      </c>
      <c r="C49" s="634"/>
    </row>
    <row r="50" spans="2:3">
      <c r="B50" s="295"/>
      <c r="C50" s="634"/>
    </row>
    <row r="51" spans="2:3">
      <c r="B51" s="443" t="s">
        <v>72</v>
      </c>
      <c r="C51" s="634"/>
    </row>
    <row r="52" spans="2:3">
      <c r="B52" s="421" t="s">
        <v>73</v>
      </c>
      <c r="C52" s="634"/>
    </row>
    <row r="53" spans="2:3">
      <c r="B53" s="421" t="s">
        <v>74</v>
      </c>
      <c r="C53" s="634"/>
    </row>
    <row r="54" spans="2:3">
      <c r="B54" s="422" t="s">
        <v>75</v>
      </c>
      <c r="C54" s="634"/>
    </row>
    <row r="55" spans="2:3">
      <c r="B55" s="422" t="s">
        <v>76</v>
      </c>
      <c r="C55" s="634"/>
    </row>
    <row r="56" spans="2:3">
      <c r="B56" s="422" t="s">
        <v>77</v>
      </c>
      <c r="C56" s="634"/>
    </row>
    <row r="57" spans="2:3">
      <c r="B57" s="421" t="s">
        <v>78</v>
      </c>
      <c r="C57" s="634"/>
    </row>
    <row r="58" spans="2:3">
      <c r="B58" s="421" t="s">
        <v>79</v>
      </c>
      <c r="C58" s="634"/>
    </row>
    <row r="59" spans="2:3">
      <c r="B59" s="296"/>
      <c r="C59" s="634"/>
    </row>
    <row r="60" spans="2:3">
      <c r="B60" s="443" t="s">
        <v>80</v>
      </c>
      <c r="C60" s="634"/>
    </row>
    <row r="61" spans="2:3">
      <c r="B61" s="423" t="s">
        <v>81</v>
      </c>
      <c r="C61" s="634"/>
    </row>
    <row r="62" spans="2:3">
      <c r="B62" s="423" t="s">
        <v>82</v>
      </c>
      <c r="C62" s="634"/>
    </row>
    <row r="63" spans="2:3">
      <c r="B63" s="423" t="s">
        <v>83</v>
      </c>
      <c r="C63" s="634"/>
    </row>
    <row r="64" spans="2:3">
      <c r="B64" s="424" t="s">
        <v>84</v>
      </c>
      <c r="C64" s="634"/>
    </row>
    <row r="65" spans="2:3">
      <c r="B65" s="423" t="s">
        <v>85</v>
      </c>
      <c r="C65" s="634"/>
    </row>
    <row r="66" spans="2:3">
      <c r="B66" s="423" t="s">
        <v>86</v>
      </c>
      <c r="C66" s="634"/>
    </row>
    <row r="67" spans="2:3">
      <c r="B67" s="424" t="s">
        <v>87</v>
      </c>
      <c r="C67" s="634"/>
    </row>
    <row r="68" spans="2:3">
      <c r="B68" s="52"/>
      <c r="C68" s="634"/>
    </row>
    <row r="69" spans="2:3">
      <c r="B69" s="443" t="s">
        <v>88</v>
      </c>
      <c r="C69" s="634"/>
    </row>
    <row r="70" spans="2:3">
      <c r="B70" s="425" t="s">
        <v>89</v>
      </c>
      <c r="C70" s="634"/>
    </row>
    <row r="71" spans="2:3">
      <c r="B71" s="425" t="s">
        <v>90</v>
      </c>
      <c r="C71" s="634"/>
    </row>
    <row r="72" spans="2:3">
      <c r="B72" s="425" t="s">
        <v>91</v>
      </c>
      <c r="C72" s="634"/>
    </row>
    <row r="73" spans="2:3">
      <c r="B73" s="426" t="s">
        <v>92</v>
      </c>
      <c r="C73" s="634"/>
    </row>
    <row r="74" spans="2:3">
      <c r="B74" s="426" t="s">
        <v>93</v>
      </c>
      <c r="C74" s="634"/>
    </row>
    <row r="75" spans="2:3">
      <c r="B75" s="425" t="s">
        <v>94</v>
      </c>
      <c r="C75" s="634"/>
    </row>
    <row r="76" spans="2:3">
      <c r="B76" s="295"/>
      <c r="C76" s="634"/>
    </row>
    <row r="77" spans="2:3">
      <c r="B77" s="443" t="s">
        <v>95</v>
      </c>
      <c r="C77" s="634"/>
    </row>
    <row r="78" spans="2:3">
      <c r="B78" s="427" t="s">
        <v>96</v>
      </c>
      <c r="C78" s="634"/>
    </row>
    <row r="79" spans="2:3">
      <c r="B79" s="427" t="s">
        <v>97</v>
      </c>
      <c r="C79" s="634"/>
    </row>
    <row r="80" spans="2:3" ht="14.9" customHeight="1">
      <c r="B80" s="427" t="s">
        <v>98</v>
      </c>
      <c r="C80" s="634"/>
    </row>
    <row r="81" spans="2:3" ht="14.9" customHeight="1">
      <c r="B81" s="427" t="s">
        <v>99</v>
      </c>
      <c r="C81" s="634"/>
    </row>
    <row r="82" spans="2:3" ht="14.9" customHeight="1">
      <c r="B82" s="427" t="s">
        <v>100</v>
      </c>
      <c r="C82" s="634"/>
    </row>
    <row r="83" spans="2:3" ht="14.9" customHeight="1">
      <c r="B83" s="427" t="s">
        <v>101</v>
      </c>
      <c r="C83" s="634"/>
    </row>
    <row r="84" spans="2:3" ht="14.9" customHeight="1">
      <c r="B84" s="427" t="s">
        <v>102</v>
      </c>
      <c r="C84" s="634"/>
    </row>
    <row r="85" spans="2:3">
      <c r="B85" s="52"/>
    </row>
    <row r="86" spans="2:3">
      <c r="B86" s="51" t="s">
        <v>103</v>
      </c>
    </row>
    <row r="87" spans="2:3">
      <c r="B87" t="s">
        <v>1311</v>
      </c>
    </row>
    <row r="89" spans="2:3" ht="18.5">
      <c r="B89" s="128"/>
      <c r="C89" s="4"/>
    </row>
    <row r="90" spans="2:3">
      <c r="B90" s="129"/>
      <c r="C90" s="4"/>
    </row>
    <row r="91" spans="2:3">
      <c r="B91" s="130"/>
      <c r="C91" s="130"/>
    </row>
    <row r="95" spans="2:3">
      <c r="C95" s="124"/>
    </row>
    <row r="96" spans="2:3">
      <c r="B96" s="28"/>
      <c r="C96" s="28"/>
    </row>
    <row r="97" spans="3:3">
      <c r="C97" s="124"/>
    </row>
    <row r="99" spans="3:3">
      <c r="C99" s="124"/>
    </row>
    <row r="100" spans="3:3">
      <c r="C100" s="124"/>
    </row>
    <row r="101" spans="3:3">
      <c r="C101" s="124"/>
    </row>
    <row r="102" spans="3:3">
      <c r="C102" s="124"/>
    </row>
    <row r="103" spans="3:3">
      <c r="C103" s="124"/>
    </row>
    <row r="104" spans="3:3">
      <c r="C104" s="124"/>
    </row>
    <row r="105" spans="3:3">
      <c r="C105" s="124"/>
    </row>
    <row r="106" spans="3:3">
      <c r="C106" s="124"/>
    </row>
    <row r="107" spans="3:3">
      <c r="C107" s="124"/>
    </row>
    <row r="108" spans="3:3">
      <c r="C108" s="124"/>
    </row>
    <row r="109" spans="3:3">
      <c r="C109" s="124"/>
    </row>
    <row r="110" spans="3:3">
      <c r="C110" s="124"/>
    </row>
    <row r="111" spans="3:3">
      <c r="C111" s="124"/>
    </row>
    <row r="112" spans="3:3">
      <c r="C112" s="124"/>
    </row>
    <row r="113" spans="3:3">
      <c r="C113" s="124"/>
    </row>
    <row r="114" spans="3:3">
      <c r="C114" s="124"/>
    </row>
    <row r="115" spans="3:3">
      <c r="C115" s="124"/>
    </row>
    <row r="116" spans="3:3">
      <c r="C116" s="124"/>
    </row>
  </sheetData>
  <customSheetViews>
    <customSheetView guid="{2D920366-22B2-4182-A65D-0EDBE614FB37}" showGridLines="0">
      <pageMargins left="0" right="0" top="0" bottom="0" header="0" footer="0"/>
      <pageSetup paperSize="9" orientation="portrait" r:id="rId1"/>
    </customSheetView>
    <customSheetView guid="{F468A2FD-7987-4A9D-8BAE-1AACE523607F}" showGridLines="0">
      <selection activeCell="D1" sqref="D1"/>
      <pageMargins left="0" right="0" top="0" bottom="0" header="0" footer="0"/>
      <pageSetup paperSize="9" orientation="portrait" r:id="rId2"/>
    </customSheetView>
    <customSheetView guid="{D97B1299-69D0-4EE0-B673-CCF74742F96B}">
      <selection activeCell="D2" sqref="D2"/>
      <pageMargins left="0" right="0" top="0" bottom="0" header="0" footer="0"/>
      <pageSetup paperSize="9" orientation="portrait" r:id="rId3"/>
    </customSheetView>
    <customSheetView guid="{3F0A4FBA-5323-448F-A023-B3E14C54064C}" showGridLines="0">
      <selection activeCell="D2" sqref="D2"/>
      <pageMargins left="0" right="0" top="0" bottom="0" header="0" footer="0"/>
      <pageSetup paperSize="9" orientation="portrait" r:id="rId4"/>
    </customSheetView>
    <customSheetView guid="{E6EFD927-84B2-4D06-BB59-59D9DF522DA2}" showGridLines="0">
      <selection activeCell="D1" sqref="D1"/>
      <pageMargins left="0" right="0" top="0" bottom="0" header="0" footer="0"/>
      <pageSetup paperSize="9" orientation="portrait" r:id="rId5"/>
    </customSheetView>
    <customSheetView guid="{0E935136-9A80-44B6-88D5-61E64D742049}" showGridLines="0">
      <selection activeCell="D1" sqref="D1"/>
      <pageMargins left="0" right="0" top="0" bottom="0" header="0" footer="0"/>
      <pageSetup paperSize="9" orientation="portrait" r:id="rId6"/>
    </customSheetView>
    <customSheetView guid="{1C16EB38-F785-4168-9938-104594734038}" showGridLines="0">
      <selection activeCell="D1" sqref="D1"/>
      <pageMargins left="0" right="0" top="0" bottom="0" header="0" footer="0"/>
      <pageSetup paperSize="9" orientation="portrait" r:id="rId7"/>
    </customSheetView>
    <customSheetView guid="{EECBF9DF-6D77-4263-85DA-71E40216BADD}" showGridLines="0">
      <selection activeCell="D1" sqref="D1"/>
      <pageMargins left="0" right="0" top="0" bottom="0" header="0" footer="0"/>
      <pageSetup paperSize="9" orientation="portrait" r:id="rId8"/>
    </customSheetView>
    <customSheetView guid="{F03309BC-D3FA-4CF2-833B-D6D9A95FE1FB}" showGridLines="0">
      <selection activeCell="D2" sqref="D2"/>
      <pageMargins left="0" right="0" top="0" bottom="0" header="0" footer="0"/>
      <pageSetup paperSize="9" orientation="portrait" r:id="rId9"/>
    </customSheetView>
  </customSheetViews>
  <mergeCells count="2">
    <mergeCell ref="C16:C23"/>
    <mergeCell ref="C25:C84"/>
  </mergeCells>
  <hyperlinks>
    <hyperlink ref="B12" location="Units!A1" display="Units" xr:uid="{E37EA686-EA87-4C79-AD23-6925102A29C5}"/>
    <hyperlink ref="B15" location="'Non Typical data'!A1" display="Non Typical data" xr:uid="{064625B3-12CD-4009-8D99-F7D142D3EACC}"/>
    <hyperlink ref="B16" location="GHG_ELECTROLYSIS!A1" display="GHG_ELECTROLYSIS" xr:uid="{FC55BA50-A5F5-44CF-B6E5-C299F8555928}"/>
    <hyperlink ref="B17" location="GHG_FOSSIL_REFORM_CCS!A1" display="GHG_FOSSIL_REFORM_CCS" xr:uid="{439A0861-E4B8-4D50-8D56-FA22438782DF}"/>
    <hyperlink ref="B20" location="GHG_BIOMETHANE_REFORM!A1" display="GHG_BIOMETHANE_REFORM" xr:uid="{0A5AA8C7-0E36-4DEC-9BF7-70F47E3CCFAD}"/>
    <hyperlink ref="B21" location="GHG_BIOMASS_GASIFICATION!A1" display="GHG_BIOMASS_GASIFICATION" xr:uid="{547ED829-6217-41D8-9036-216F982F0929}"/>
    <hyperlink ref="B22" location="GHG_WASTE_GASIFICATION!A1" display="GHG_WASTE_GASIFICATION" xr:uid="{AA923DD2-5342-46B5-96D3-1BD64A5F5C46}"/>
    <hyperlink ref="B23" location="GHG_GENERIC_OTHER!A1" display="GHG_GENERIC_OTHER" xr:uid="{62125913-33C0-44BD-9E8B-04A0E2EFD926}"/>
    <hyperlink ref="B26" location="Electrolysis!A1" display="Electrolysis" xr:uid="{63D1464E-B193-456C-9227-9C5035C2F6A1}"/>
    <hyperlink ref="B29" location="NG_Collection!A1" display="NG Collection" xr:uid="{B4360640-332E-4331-A850-04C84B50D86C}"/>
    <hyperlink ref="B30" location="NG_Transport!A1" display="NG Transport" xr:uid="{5E1DDCE6-79D1-4C5C-8945-C127EC78852B}"/>
    <hyperlink ref="B31" location="NG_Processing!A1" display="NG Processing" xr:uid="{3AD7A6F6-AA19-4EF5-B067-99951FA4DD7D}"/>
    <hyperlink ref="B32" location="NG_Further_Transport!A1" display="NG Further Transport" xr:uid="{1BB3CCCB-9428-402E-97D9-BCBA65FE0C44}"/>
    <hyperlink ref="B33" location="NG_Reforming_CCS!A1" display="NG Reforming + CCS" xr:uid="{B359935B-CEE3-49C6-84DC-3B0BF2BC1731}"/>
    <hyperlink ref="B52" location="Biogas_Feedstock_Cultivation!A1" display="Biogas Feedstock Cultivation" xr:uid="{85246442-0285-4125-9D56-99D594F1D6DE}"/>
    <hyperlink ref="B54" location="Biogas_Feedstock_Collection!A1" display="Biogas Feedstock Collection" xr:uid="{CC348454-33E4-4EC2-A309-0EFE94F77155}"/>
    <hyperlink ref="B55" location="Biogas_Feedstock_Transport!A1" display="Biogas Feedstock Transport" xr:uid="{F87B6F84-24D6-4A1D-9459-53A125EA5631}"/>
    <hyperlink ref="B56" location="'Biogas+Biomethane_Upgrading'!A1" display="Biogas+Biomethane Upgrading" xr:uid="{AE740AA5-BE05-42C8-8081-679053ED2FD3}"/>
    <hyperlink ref="B57" location="Biomethane_Transport!A1" display="Biomethane Transport" xr:uid="{4D65713F-32D8-4EA3-AD33-59920B53C214}"/>
    <hyperlink ref="B58" location="Biomethane_Reforming_CCS!A1" display="Biomethane Reforming (+ CCS)" xr:uid="{A34E59A2-8D3B-4CBE-950D-5419DA3B62AB}"/>
    <hyperlink ref="B63" location="Biomass_Collection!A1" display="Biomass Collection" xr:uid="{9AAFDA45-9460-4925-9B19-18941C8D3F90}"/>
    <hyperlink ref="B61" location="Biomass_Cultivation!A1" display="Biomass Cultivation" xr:uid="{CD86146A-0FA4-4C19-A138-4415F9200D38}"/>
    <hyperlink ref="B64" location="Biomass_Transport!A1" display="Biomass Transport" xr:uid="{AE518C84-6609-4C0D-A0EC-6C82D268B0E2}"/>
    <hyperlink ref="B65" location="'Biomass_Pre-Processing'!A1" display="Biomass Pre-Processing" xr:uid="{4BE25332-B3EA-4976-AD07-B75B72B5B73C}"/>
    <hyperlink ref="B66" location="Biomass_Further_Transport!A1" display="Biomass Further Transport" xr:uid="{674C94F6-F688-4079-B5BF-3F512F263124}"/>
    <hyperlink ref="B67" location="Biomass_Gasification_CCS!A1" display="Biomass Gasification (+ CCS)" xr:uid="{ED4B6008-4D05-4BEC-B24D-6478F3B85EA3}"/>
    <hyperlink ref="B71" location="Waste_Collection!A1" display="Waste Collection" xr:uid="{33FD06AB-8BB0-4A84-A99A-680CC79B61CE}"/>
    <hyperlink ref="B72" location="Waste_Transport!A1" display="Waste Transport" xr:uid="{6A84C630-6B58-4F25-B22F-AA4C19BD88FD}"/>
    <hyperlink ref="B73" location="'Waste_Pre-Processing'!A1" display="Waste Pre-Processing" xr:uid="{D4EDB51C-E544-430A-91C2-2908C86FC16C}"/>
    <hyperlink ref="B74" location="Waste_Further_Transport!A1" display="Waste Further Transport" xr:uid="{9CBB4FBB-0543-4553-A228-F81A62FD2507}"/>
    <hyperlink ref="B75" location="Waste_Gasification_CCS!A1" display="Waste Gasification (+ CCS)" xr:uid="{2E259662-4A24-4142-A818-955CA81A96ED}"/>
    <hyperlink ref="B80" location="Generic_Feedstock_Collection!A1" display="Generic Feedstock Collection" xr:uid="{84344BB0-E223-452F-B3A6-BA633EB54F4A}"/>
    <hyperlink ref="B81" location="Generic_Feedstock_Transport!A1" display="Generic Feedstock Transport" xr:uid="{B9FFD7C9-5FD8-4C45-AE41-E6FE1B869AFF}"/>
    <hyperlink ref="B82" location="'Generic_Pre-Processing'!A1" display="Generic Pre-Processing" xr:uid="{791E891F-83F1-4EB5-84AF-8A9963EE86A4}"/>
    <hyperlink ref="B83" location="Generic_Further_Transport!A1" display="Generic Further Transport" xr:uid="{FC4C0A97-06C6-4C71-B54B-5C87223AD926}"/>
    <hyperlink ref="B84" location="Generic_Conversion!A1" display="Generic Conversion" xr:uid="{6C90B5DD-53C1-4C62-9414-666A19BA4136}"/>
    <hyperlink ref="B53" location="Biogas_Feedstock_Harvesting!A1" display="Biogas Feedstock Harvesting" xr:uid="{FF9C4054-5AE1-40B8-9E1C-C60335C95A71}"/>
    <hyperlink ref="B62" location="Biomass_Harvesting!A1" display="Biomass Harvesting" xr:uid="{4AFC986B-142D-4E78-BCCA-9E8E6B156736}"/>
    <hyperlink ref="B78" location="Generic_Feedstock_Cultivation!A1" display="Generic Feedstock Cultivation" xr:uid="{8FC2031C-C66F-4C7A-9572-07865EAAD8D2}"/>
    <hyperlink ref="B5" location="'Guidance Initial_questions'!A1" display="Guidance Initial Qus" xr:uid="{DDA4D3B7-DC27-40BA-A855-569BD2499D23}"/>
    <hyperlink ref="B79" location="Generic_Feedstock_Harvesting!A1" display="Generic Feedstock Harvesting" xr:uid="{5E4A07A6-277D-4BB9-B8A8-88B25F5172C0}"/>
    <hyperlink ref="B8" location="'Guidance Summary GHG'!A1" display="Guidance Summary GHG" xr:uid="{B5BD78D3-6545-4B09-94AC-6792BA811E40}"/>
    <hyperlink ref="B6" location="'Guidance Processing'!A1" display="Guidance Processing" xr:uid="{80C367A8-7B2D-47DD-B64B-D4E6D1C57DB0}"/>
    <hyperlink ref="B7" location="'Guidance Feedstock dLUC'!A1" display="Guidance Feedstock dLUC" xr:uid="{B85A42E1-9A4C-4743-A44D-590C3FA25840}"/>
    <hyperlink ref="B13" location="'Default data'!A1" display="Default data" xr:uid="{F8CEF998-F394-49C1-875F-9F0714B244AC}"/>
    <hyperlink ref="B10" location="System_Boundary!A1" display="System boundary" xr:uid="{7192F820-AC17-4BD7-AB4A-4A2CF9A34604}"/>
    <hyperlink ref="B9" location="Initial_questions!A1" display="Guidance 1" xr:uid="{6519E2B9-140C-4E57-A173-D928B753A54A}"/>
    <hyperlink ref="B3" location="Title!A1" display="Title" xr:uid="{DF624730-1AB1-407A-8C25-9DFAEC00CF2E}"/>
    <hyperlink ref="B4" location="Navigation!A1" display="Navigation" xr:uid="{94CADE7D-EAB3-46BD-A4E2-D66FAEA18628}"/>
    <hyperlink ref="B11" location="Dashboard!A1" display="Dashboard" xr:uid="{9A1843F1-4C95-4C12-BCDF-C9FC9CF8E05C}"/>
    <hyperlink ref="B45" location="NG_Collection!A1" display="NG Collection" xr:uid="{0FB5699C-87EE-4E96-BCC1-D70CD6BC7EDE}"/>
    <hyperlink ref="B46" location="NG_Transport!A1" display="NG Transport" xr:uid="{A5C64943-2186-4A1D-AC15-AC2832B8BA24}"/>
    <hyperlink ref="B47" location="NG_Processing!A1" display="NG Processing" xr:uid="{0142D342-8157-482D-BEB0-54AB370941C2}"/>
    <hyperlink ref="B48" location="NG_Further_Transport!A1" display="NG Further Transport" xr:uid="{3538F8C2-D457-41C8-9F05-87579412C7DB}"/>
    <hyperlink ref="B49" location="NG_Pyrolysis_SolidCarbon!A1" display="NG Pyrolysis SolidCarbon" xr:uid="{ABF5AC20-BC68-4C86-A23B-0D350717923A}"/>
    <hyperlink ref="B70" location="Waste_Fossil_Counterfactual!A1" display="Waste Fossil Counterfactual" xr:uid="{E19C278F-9BB3-4158-AE4B-D88F7031E0F2}"/>
    <hyperlink ref="B14" location="'Typical data'!A1" display="Typical data" xr:uid="{C4AC21B8-70E6-4E85-B664-43D0CDEA6264}"/>
    <hyperlink ref="B18" location="GHG_ROG_REFORM_CCS!A1" display="GHG_ROG_REFORM_CCS" xr:uid="{D2166A06-610C-4182-B23C-5FB4D5EC1103}"/>
    <hyperlink ref="B19" location="GHG_NG_PYROLYSIS!A1" display="GHG_NG_PYROLYSIS" xr:uid="{3B3C9C25-BBD9-4C28-B934-903882C1B74F}"/>
    <hyperlink ref="B37" location="Crude_Collection!A1" display="Crude Collection" xr:uid="{3A404577-D844-44BC-BED3-DBF769BDCDFB}"/>
    <hyperlink ref="B38" location="Crude_Transport!A1" display="Crude Transport" xr:uid="{11FD9892-D595-4AA3-9D48-81C7893FC191}"/>
    <hyperlink ref="B39" location="Crude_Refine!A1" display="Crude Refine" xr:uid="{7618FFE7-91F8-4166-ACAA-C2F26FF9BCAF}"/>
    <hyperlink ref="B40" location="ROG_Processing!A1" display="ROG Processing" xr:uid="{1A8A5549-B26F-468D-A6D2-CEA6EDF59499}"/>
    <hyperlink ref="B41" location="ROG_Transport!A1" display="ROG Further Transport" xr:uid="{04ED5AC6-36DD-4FD6-B4C1-73E172C7CB25}"/>
    <hyperlink ref="B36" location="ROG_Counterfactual!A1" display="ROG Counterfactual" xr:uid="{A35506A3-1839-4232-95CC-BC53E358E228}"/>
    <hyperlink ref="B42" location="ROG_Reforming_CCS!A1" display="ROG Reforming + CCS" xr:uid="{193CB276-5A01-483C-AB67-BF8E50CC1545}"/>
  </hyperlinks>
  <pageMargins left="0" right="0" top="0" bottom="0" header="0" footer="0"/>
  <pageSetup paperSize="9" orientation="portrait"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907DF-AE51-4A22-8FF0-00E11C39E3E5}">
  <sheetPr codeName="Sheet14">
    <tabColor rgb="FFFF66CC"/>
  </sheetPr>
  <dimension ref="A1:Q47"/>
  <sheetViews>
    <sheetView showGridLines="0" zoomScaleNormal="100" workbookViewId="0">
      <pane xSplit="3" topLeftCell="D1" activePane="topRight" state="frozen"/>
      <selection pane="topRight"/>
    </sheetView>
  </sheetViews>
  <sheetFormatPr defaultColWidth="8.81640625" defaultRowHeight="14.5"/>
  <cols>
    <col min="1" max="1" width="4.54296875" customWidth="1"/>
    <col min="2" max="2" width="32.453125" customWidth="1"/>
    <col min="3" max="3" width="30.54296875" customWidth="1"/>
    <col min="4" max="4" width="29.26953125" customWidth="1"/>
    <col min="5" max="5" width="15.81640625" customWidth="1"/>
    <col min="6" max="6" width="31.81640625" customWidth="1"/>
    <col min="7" max="7" width="28.54296875" customWidth="1"/>
    <col min="8" max="8" width="30.453125" customWidth="1"/>
    <col min="9" max="10" width="26.81640625" customWidth="1"/>
    <col min="11" max="11" width="35.1796875" customWidth="1"/>
    <col min="12" max="12" width="20.81640625" customWidth="1"/>
    <col min="13" max="13" width="29" customWidth="1"/>
    <col min="15" max="15" width="30.1796875" customWidth="1"/>
    <col min="16" max="16" width="28.81640625" customWidth="1"/>
    <col min="17" max="17" width="29.453125" customWidth="1"/>
  </cols>
  <sheetData>
    <row r="1" spans="1:17" ht="31">
      <c r="A1" s="80" t="str">
        <f>IF(AND(Path&lt;&gt;Units!$B$137,Path&lt;&gt;Units!$B$138,Master_Switch="On"),"User should not use this worksheet, but switch to a non-blank GHG summary worksheets","")</f>
        <v>User should not use this worksheet, but switch to a non-blank GHG summary worksheets</v>
      </c>
    </row>
    <row r="2" spans="1:17" s="276" customFormat="1">
      <c r="B2" s="162" t="s">
        <v>961</v>
      </c>
      <c r="C2" s="162"/>
      <c r="I2" s="277"/>
    </row>
    <row r="4" spans="1:17" ht="84.65" customHeight="1">
      <c r="B4" s="106" t="s">
        <v>900</v>
      </c>
      <c r="C4" s="106" t="s">
        <v>901</v>
      </c>
      <c r="D4" s="106" t="s">
        <v>902</v>
      </c>
      <c r="E4" s="106" t="s">
        <v>903</v>
      </c>
      <c r="F4" s="106" t="s">
        <v>904</v>
      </c>
      <c r="G4" s="106" t="s">
        <v>905</v>
      </c>
      <c r="H4" s="106" t="s">
        <v>906</v>
      </c>
      <c r="I4" s="106" t="s">
        <v>907</v>
      </c>
      <c r="J4" s="106" t="s">
        <v>908</v>
      </c>
      <c r="K4" s="106" t="s">
        <v>909</v>
      </c>
      <c r="L4" s="106" t="s">
        <v>910</v>
      </c>
      <c r="M4" s="106" t="s">
        <v>911</v>
      </c>
      <c r="O4" s="175" t="s">
        <v>962</v>
      </c>
      <c r="P4" s="175" t="s">
        <v>963</v>
      </c>
      <c r="Q4" s="175" t="s">
        <v>964</v>
      </c>
    </row>
    <row r="5" spans="1:17">
      <c r="B5" s="61" t="s">
        <v>90</v>
      </c>
      <c r="C5" s="686" t="s">
        <v>942</v>
      </c>
      <c r="D5" s="706" t="str">
        <f>IF(Initial_questions!E$113="", IF(Initial_questions!E$112="", "User to enter in Initial Qus", Initial_questions!E$112), Initial_questions!E$113)</f>
        <v>User to enter in Initial Qus</v>
      </c>
      <c r="E5" s="57" t="str">
        <f>Waste_Collection!O20</f>
        <v>NA</v>
      </c>
      <c r="F5" s="170" t="e">
        <f>F6/E6</f>
        <v>#VALUE!</v>
      </c>
      <c r="G5" s="60">
        <f>Waste_Collection!V33</f>
        <v>0</v>
      </c>
      <c r="H5" s="58" t="e">
        <f t="shared" ref="H5:H8" si="0">G5*F5</f>
        <v>#VALUE!</v>
      </c>
      <c r="I5" s="315" t="str">
        <f>Waste_Collection!R20</f>
        <v/>
      </c>
      <c r="J5" s="57" t="e">
        <f t="shared" ref="J5:J6" si="1">J6*I5</f>
        <v>#VALUE!</v>
      </c>
      <c r="K5" s="59" t="e">
        <f t="shared" ref="K5:K8" si="2">H5*J5</f>
        <v>#VALUE!</v>
      </c>
      <c r="L5" s="709" t="str" cm="1">
        <f t="array" ref="L5">IF(Initial_questions!$E$111="No", "Feedstock does not match default", IF(OR(Path=Units!$B$137:$B$138),'Default data'!$D$22,"Pathway not chosen"))</f>
        <v>Pathway not chosen</v>
      </c>
      <c r="M5" s="711" t="e">
        <f>MAX(0,IF($D$5="Default",L5,SUM(K5:K8)))</f>
        <v>#VALUE!</v>
      </c>
      <c r="O5" s="701" t="str">
        <f>IF(Path=Units!$B$137,'Default data'!E$22,IF(Path=Units!$B$138, "Pathway not available from LCA tool","Pathway not chosen"))</f>
        <v>Pathway not chosen</v>
      </c>
      <c r="P5" s="701" t="str">
        <f>IF(Path=Units!$B$137,'Default data'!F$22,IF(Path=Units!$B$138, "Pathway not available from LCA tool","Pathway not chosen"))</f>
        <v>Pathway not chosen</v>
      </c>
      <c r="Q5" s="701" t="str">
        <f>IF(Path=Units!$B$137,'Default data'!G$22,IF(Path=Units!$B$138, "Pathway not available from LCA tool","Pathway not chosen"))</f>
        <v>Pathway not chosen</v>
      </c>
    </row>
    <row r="6" spans="1:17">
      <c r="B6" s="61" t="s">
        <v>91</v>
      </c>
      <c r="C6" s="687"/>
      <c r="D6" s="707"/>
      <c r="E6" s="57" t="str">
        <f>Waste_Transport!O20</f>
        <v/>
      </c>
      <c r="F6" s="170" t="e">
        <f>F7/E7</f>
        <v>#VALUE!</v>
      </c>
      <c r="G6" s="60">
        <f>Waste_Transport!V33</f>
        <v>0</v>
      </c>
      <c r="H6" s="58" t="e">
        <f t="shared" si="0"/>
        <v>#VALUE!</v>
      </c>
      <c r="I6" s="315" t="str">
        <f>Waste_Transport!R20</f>
        <v/>
      </c>
      <c r="J6" s="57" t="e">
        <f t="shared" si="1"/>
        <v>#VALUE!</v>
      </c>
      <c r="K6" s="59" t="e">
        <f t="shared" si="2"/>
        <v>#VALUE!</v>
      </c>
      <c r="L6" s="710"/>
      <c r="M6" s="712"/>
      <c r="O6" s="702"/>
      <c r="P6" s="702"/>
      <c r="Q6" s="702"/>
    </row>
    <row r="7" spans="1:17">
      <c r="B7" s="61" t="s">
        <v>92</v>
      </c>
      <c r="C7" s="687"/>
      <c r="D7" s="707"/>
      <c r="E7" s="57" t="str">
        <f>'Waste_Pre-Processing'!O20</f>
        <v/>
      </c>
      <c r="F7" s="170" t="e">
        <f>F8/E8</f>
        <v>#VALUE!</v>
      </c>
      <c r="G7" s="60">
        <f>'Waste_Pre-Processing'!V46</f>
        <v>0</v>
      </c>
      <c r="H7" s="58" t="e">
        <f t="shared" si="0"/>
        <v>#VALUE!</v>
      </c>
      <c r="I7" s="315" t="str">
        <f>'Waste_Pre-Processing'!R20</f>
        <v/>
      </c>
      <c r="J7" s="57" t="e">
        <f>J8*I7</f>
        <v>#VALUE!</v>
      </c>
      <c r="K7" s="59" t="e">
        <f t="shared" si="2"/>
        <v>#VALUE!</v>
      </c>
      <c r="L7" s="710"/>
      <c r="M7" s="712"/>
      <c r="O7" s="702"/>
      <c r="P7" s="702"/>
      <c r="Q7" s="702"/>
    </row>
    <row r="8" spans="1:17">
      <c r="B8" s="61" t="s">
        <v>93</v>
      </c>
      <c r="C8" s="688"/>
      <c r="D8" s="708"/>
      <c r="E8" s="57" t="str">
        <f>Waste_Further_Transport!O20</f>
        <v/>
      </c>
      <c r="F8" s="170" t="e">
        <f>F9/E9</f>
        <v>#VALUE!</v>
      </c>
      <c r="G8" s="60">
        <f>Waste_Further_Transport!V33</f>
        <v>0</v>
      </c>
      <c r="H8" s="58" t="e">
        <f t="shared" si="0"/>
        <v>#VALUE!</v>
      </c>
      <c r="I8" s="315" t="str">
        <f>Waste_Further_Transport!R20</f>
        <v/>
      </c>
      <c r="J8" s="57" t="e">
        <f>J9*I8</f>
        <v>#VALUE!</v>
      </c>
      <c r="K8" s="59" t="e">
        <f t="shared" si="2"/>
        <v>#VALUE!</v>
      </c>
      <c r="L8" s="710"/>
      <c r="M8" s="713"/>
      <c r="O8" s="703"/>
      <c r="P8" s="703"/>
      <c r="Q8" s="703"/>
    </row>
    <row r="9" spans="1:17">
      <c r="B9" s="686" t="s">
        <v>965</v>
      </c>
      <c r="C9" s="61" t="s">
        <v>128</v>
      </c>
      <c r="D9" s="313" t="str">
        <f>IF(Initial_questions!E$114="", IF(Initial_questions!E$112="", "User to enter in Initial Qus", Initial_questions!E$112), Initial_questions!E$114)</f>
        <v>User to enter in Initial Qus</v>
      </c>
      <c r="E9" s="677" t="str">
        <f>Waste_Gasification_CCS!O9</f>
        <v/>
      </c>
      <c r="F9" s="680">
        <v>1</v>
      </c>
      <c r="G9" s="60">
        <f>Waste_Gasification_CCS!V20</f>
        <v>0</v>
      </c>
      <c r="H9" s="58">
        <f>G9*$F$9</f>
        <v>0</v>
      </c>
      <c r="I9" s="720" t="str">
        <f>Waste_Gasification_CCS!R9</f>
        <v/>
      </c>
      <c r="J9" s="677" t="str">
        <f>I9</f>
        <v/>
      </c>
      <c r="K9" s="59" t="e">
        <f>H9*$J$9</f>
        <v>#VALUE!</v>
      </c>
      <c r="L9" s="170" t="str" cm="1">
        <f t="array" ref="L9">IF(Initial_questions!$E$111="No", "Feedstock does not match default", IF(OR(Path=Units!$B$137:$B$138),'Default data'!$D$38,"Pathway not chosen"))</f>
        <v>Pathway not chosen</v>
      </c>
      <c r="M9" s="314" t="e">
        <f>IF(D9="Default",L9,K9)</f>
        <v>#VALUE!</v>
      </c>
      <c r="O9" s="164" t="str">
        <f>IF(Path=Units!$B$137,'Default data'!E$38,IF(Path=Units!$B$138, "Pathway not available from LCA tool","Pathway not chosen"))</f>
        <v>Pathway not chosen</v>
      </c>
      <c r="P9" s="164" t="str">
        <f>IF(Path=Units!$B$137,'Default data'!F$38,IF(Path=Units!$B$138, "Pathway not available from LCA tool","Pathway not chosen"))</f>
        <v>Pathway not chosen</v>
      </c>
      <c r="Q9" s="164" t="str">
        <f>IF(Path=Units!$B$137,'Default data'!G$38,IF(Path=Units!$B$138, "Pathway not available from LCA tool","Pathway not chosen"))</f>
        <v>Pathway not chosen</v>
      </c>
    </row>
    <row r="10" spans="1:17">
      <c r="B10" s="687"/>
      <c r="C10" s="61" t="s">
        <v>129</v>
      </c>
      <c r="D10" s="313" t="str">
        <f>IF(Initial_questions!E$115="", IF(Initial_questions!E$112="", "User to enter in Initial Qus", Initial_questions!E$112), Initial_questions!E$115)</f>
        <v>User to enter in Initial Qus</v>
      </c>
      <c r="E10" s="678"/>
      <c r="F10" s="681"/>
      <c r="G10" s="60">
        <f>Waste_Gasification_CCS!V33</f>
        <v>0</v>
      </c>
      <c r="H10" s="58">
        <f t="shared" ref="H10:H14" si="3">G10*$F$9</f>
        <v>0</v>
      </c>
      <c r="I10" s="721"/>
      <c r="J10" s="678"/>
      <c r="K10" s="59" t="e">
        <f t="shared" ref="K10:K14" si="4">H10*$J$9</f>
        <v>#VALUE!</v>
      </c>
      <c r="L10" s="170" t="str" cm="1">
        <f t="array" ref="L10">IF(Initial_questions!$E$111="No", "Feedstock does not match default", IF(OR(Path=Units!$B$137:$B$138),'Default data'!$D$54,"Pathway not chosen"))</f>
        <v>Pathway not chosen</v>
      </c>
      <c r="M10" s="314" t="e">
        <f>IF(D10="Default",L10,K10)</f>
        <v>#VALUE!</v>
      </c>
      <c r="O10" s="164" t="str">
        <f>IF(Path=Units!$B$137,'Default data'!$E$54,IF(Path=Units!$B$138, "Pathway not available from LCA tool","Pathway not chosen"))</f>
        <v>Pathway not chosen</v>
      </c>
      <c r="P10" s="164" t="str">
        <f>IF(Path=Units!$B$137,'Default data'!$E$54,IF(Path=Units!$B$138, "Pathway not available from LCA tool","Pathway not chosen"))</f>
        <v>Pathway not chosen</v>
      </c>
      <c r="Q10" s="164" t="str">
        <f>IF(Path=Units!$B$137,'Default data'!$E$54,IF(Path=Units!$B$138, "Pathway not available from LCA tool","Pathway not chosen"))</f>
        <v>Pathway not chosen</v>
      </c>
    </row>
    <row r="11" spans="1:17" ht="16.5">
      <c r="B11" s="687"/>
      <c r="C11" s="61" t="s">
        <v>915</v>
      </c>
      <c r="D11" s="61" t="s">
        <v>916</v>
      </c>
      <c r="E11" s="678"/>
      <c r="F11" s="681"/>
      <c r="G11" s="60">
        <f>Waste_Gasification_CCS!V46</f>
        <v>0</v>
      </c>
      <c r="H11" s="58">
        <f>G11*$F$9</f>
        <v>0</v>
      </c>
      <c r="I11" s="721"/>
      <c r="J11" s="678"/>
      <c r="K11" s="59" t="e">
        <f t="shared" si="4"/>
        <v>#VALUE!</v>
      </c>
      <c r="L11" s="56" t="s">
        <v>868</v>
      </c>
      <c r="M11" s="314" t="e">
        <f>IF(D11="Default",L11,K11)</f>
        <v>#VALUE!</v>
      </c>
      <c r="O11" s="164" t="str">
        <f>IF(Path=Units!$B$137,'Default data'!$E$70,IF(Path=Units!$B$138, "Pathway not available from LCA tool","Pathway not chosen"))</f>
        <v>Pathway not chosen</v>
      </c>
      <c r="P11" s="164" t="str">
        <f>IF(Path=Units!$B$137,'Default data'!$E$70,IF(Path=Units!$B$138, "Pathway not available from LCA tool","Pathway not chosen"))</f>
        <v>Pathway not chosen</v>
      </c>
      <c r="Q11" s="164" t="str">
        <f>IF(Path=Units!$B$137,'Default data'!$E$70,IF(Path=Units!$B$138, "Pathway not available from LCA tool","Pathway not chosen"))</f>
        <v>Pathway not chosen</v>
      </c>
    </row>
    <row r="12" spans="1:17" ht="16.5">
      <c r="B12" s="687"/>
      <c r="C12" s="93" t="s">
        <v>917</v>
      </c>
      <c r="D12" s="61" t="s">
        <v>916</v>
      </c>
      <c r="E12" s="678"/>
      <c r="F12" s="681"/>
      <c r="G12" s="60">
        <f>Waste_Gasification_CCS!V64</f>
        <v>0</v>
      </c>
      <c r="H12" s="58">
        <f t="shared" si="3"/>
        <v>0</v>
      </c>
      <c r="I12" s="721"/>
      <c r="J12" s="678"/>
      <c r="K12" s="59" t="e">
        <f t="shared" si="4"/>
        <v>#VALUE!</v>
      </c>
      <c r="L12" s="56" t="s">
        <v>868</v>
      </c>
      <c r="M12" s="314" t="e">
        <f>IF(D12="Default",L12,K12)</f>
        <v>#VALUE!</v>
      </c>
      <c r="O12" s="164" t="str">
        <f>IF(Path=Units!$B$137,'Default data'!$E$86,IF(Path=Units!$B$138, "Pathway not available from LCA tool","Pathway not chosen"))</f>
        <v>Pathway not chosen</v>
      </c>
      <c r="P12" s="164" t="str">
        <f>IF(Path=Units!$B$137,'Default data'!$E$86,IF(Path=Units!$B$138, "Pathway not available from LCA tool","Pathway not chosen"))</f>
        <v>Pathway not chosen</v>
      </c>
      <c r="Q12" s="164" t="str">
        <f>IF(Path=Units!$B$137,'Default data'!$E$86,IF(Path=Units!$B$138, "Pathway not available from LCA tool","Pathway not chosen"))</f>
        <v>Pathway not chosen</v>
      </c>
    </row>
    <row r="13" spans="1:17" ht="16.5">
      <c r="B13" s="687"/>
      <c r="C13" s="93" t="s">
        <v>918</v>
      </c>
      <c r="D13" s="61" t="s">
        <v>916</v>
      </c>
      <c r="E13" s="678"/>
      <c r="F13" s="681"/>
      <c r="G13" s="60">
        <f>Waste_Gasification_CCS!V73</f>
        <v>0</v>
      </c>
      <c r="H13" s="58">
        <f t="shared" si="3"/>
        <v>0</v>
      </c>
      <c r="I13" s="721"/>
      <c r="J13" s="678"/>
      <c r="K13" s="59" t="e">
        <f t="shared" si="4"/>
        <v>#VALUE!</v>
      </c>
      <c r="L13" s="56" t="s">
        <v>868</v>
      </c>
      <c r="M13" s="314" t="e">
        <f t="shared" ref="M13" si="5">IF(D13="Default",L13,K13)</f>
        <v>#VALUE!</v>
      </c>
      <c r="O13" s="164" t="str">
        <f>IF(Path=Units!$B$137,'Default data'!$E$102,IF(Path=Units!$B$138, "Pathway not available from LCA tool","Pathway not chosen"))</f>
        <v>Pathway not chosen</v>
      </c>
      <c r="P13" s="164" t="str">
        <f>IF(Path=Units!$B$137,'Default data'!$E$102,IF(Path=Units!$B$138, "Pathway not available from LCA tool","Pathway not chosen"))</f>
        <v>Pathway not chosen</v>
      </c>
      <c r="Q13" s="164" t="str">
        <f>IF(Path=Units!$B$137,'Default data'!$E$102,IF(Path=Units!$B$138, "Pathway not available from LCA tool","Pathway not chosen"))</f>
        <v>Pathway not chosen</v>
      </c>
    </row>
    <row r="14" spans="1:17" ht="16.5">
      <c r="B14" s="688"/>
      <c r="C14" s="61" t="s">
        <v>919</v>
      </c>
      <c r="D14" s="61" t="s">
        <v>916</v>
      </c>
      <c r="E14" s="679"/>
      <c r="F14" s="682"/>
      <c r="G14" s="60">
        <f>Waste_Gasification_CCS!V91</f>
        <v>0</v>
      </c>
      <c r="H14" s="58">
        <f t="shared" si="3"/>
        <v>0</v>
      </c>
      <c r="I14" s="722"/>
      <c r="J14" s="679"/>
      <c r="K14" s="59" t="e">
        <f t="shared" si="4"/>
        <v>#VALUE!</v>
      </c>
      <c r="L14" s="56" t="s">
        <v>868</v>
      </c>
      <c r="M14" s="314" t="e">
        <f>IF(D14="Default",L14,K14)</f>
        <v>#VALUE!</v>
      </c>
      <c r="O14" s="164" t="str">
        <f>IF(Path=Units!$B$137,'Default data'!$E$118,IF(Path=Units!$B$138, "Pathway not available from LCA tool","Pathway not chosen"))</f>
        <v>Pathway not chosen</v>
      </c>
      <c r="P14" s="164" t="str">
        <f>IF(Path=Units!$B$137,'Default data'!$E$118,IF(Path=Units!$B$138, "Pathway not available from LCA tool","Pathway not chosen"))</f>
        <v>Pathway not chosen</v>
      </c>
      <c r="Q14" s="164" t="str">
        <f>IF(Path=Units!$B$137,'Default data'!$E$118,IF(Path=Units!$B$138, "Pathway not available from LCA tool","Pathway not chosen"))</f>
        <v>Pathway not chosen</v>
      </c>
    </row>
    <row r="15" spans="1:17" ht="29">
      <c r="B15" s="61" t="s">
        <v>920</v>
      </c>
      <c r="C15" s="689" t="s">
        <v>921</v>
      </c>
      <c r="D15" s="545" t="s">
        <v>922</v>
      </c>
      <c r="E15" s="28"/>
      <c r="F15" s="28"/>
      <c r="G15" s="28"/>
      <c r="H15" s="28"/>
      <c r="I15" s="28"/>
      <c r="J15" s="28"/>
      <c r="K15" s="28"/>
      <c r="L15" s="522" t="str">
        <f>'Typical data'!$D$331</f>
        <v>Yet to provide pressure or electricity source</v>
      </c>
      <c r="M15" s="521" t="str">
        <f>L15</f>
        <v>Yet to provide pressure or electricity source</v>
      </c>
      <c r="O15" s="164" t="s">
        <v>923</v>
      </c>
      <c r="P15" s="164" t="s">
        <v>923</v>
      </c>
      <c r="Q15" s="164" t="s">
        <v>923</v>
      </c>
    </row>
    <row r="16" spans="1:17" ht="29">
      <c r="B16" s="61" t="s">
        <v>924</v>
      </c>
      <c r="C16" s="690"/>
      <c r="D16" s="545" t="s">
        <v>925</v>
      </c>
      <c r="E16" s="28"/>
      <c r="F16" s="28"/>
      <c r="G16" s="28"/>
      <c r="H16" s="28"/>
      <c r="I16" s="28"/>
      <c r="J16" s="28"/>
      <c r="K16" s="28"/>
      <c r="L16" s="523" t="str">
        <f>'Typical data'!$D$349</f>
        <v>Yet to provide electricity source</v>
      </c>
      <c r="M16" s="521" t="str">
        <f>L16</f>
        <v>Yet to provide electricity source</v>
      </c>
      <c r="O16" s="164" t="s">
        <v>923</v>
      </c>
      <c r="P16" s="164" t="s">
        <v>923</v>
      </c>
      <c r="Q16" s="164" t="s">
        <v>923</v>
      </c>
    </row>
    <row r="17" spans="2:17">
      <c r="O17" s="275"/>
    </row>
    <row r="18" spans="2:17" ht="18.5">
      <c r="B18" s="97" t="s">
        <v>926</v>
      </c>
      <c r="C18" s="98"/>
      <c r="D18" s="98"/>
      <c r="E18" s="99">
        <f>PRODUCT(E5:E16)</f>
        <v>0</v>
      </c>
      <c r="F18" s="100"/>
      <c r="G18" s="100"/>
      <c r="H18" s="100"/>
      <c r="I18" s="101"/>
      <c r="J18" s="101"/>
      <c r="K18" s="101"/>
      <c r="L18" s="101"/>
      <c r="M18" s="102" t="str">
        <f>IF(COUNTIF(M5:M16,"*")&gt;0,"Pathway not chosen",SUM(M5:M16))</f>
        <v>Pathway not chosen</v>
      </c>
      <c r="O18" s="164" t="str">
        <f>IF(Path=Units!$B$137,'Default data'!E$150,IF(Path=Units!$B$138, "Pathway not available from LCA tool","Pathway not chosen"))</f>
        <v>Pathway not chosen</v>
      </c>
      <c r="P18" s="164" t="str">
        <f>IF(Path=Units!$B$137,'Default data'!F$150,IF(Path=Units!$B$138, "Pathway not available from LCA tool","Pathway not chosen"))</f>
        <v>Pathway not chosen</v>
      </c>
      <c r="Q18" s="164" t="str">
        <f>IF(Path=Units!$B$137,'Default data'!G$150,IF(Path=Units!$B$138, "Pathway not available from LCA tool","Pathway not chosen"))</f>
        <v>Pathway not chosen</v>
      </c>
    </row>
    <row r="19" spans="2:17" ht="18.5">
      <c r="B19" s="97" t="s">
        <v>927</v>
      </c>
      <c r="C19" s="98"/>
      <c r="D19" s="98"/>
      <c r="E19" s="101"/>
      <c r="F19" s="101"/>
      <c r="G19" s="101"/>
      <c r="H19" s="101"/>
      <c r="I19" s="101"/>
      <c r="J19" s="101"/>
      <c r="K19" s="101"/>
      <c r="L19" s="101"/>
      <c r="M19" s="103">
        <v>20</v>
      </c>
      <c r="O19" s="700" t="s">
        <v>966</v>
      </c>
      <c r="P19" s="700"/>
      <c r="Q19" s="700"/>
    </row>
    <row r="20" spans="2:17" ht="14.5" customHeight="1">
      <c r="O20" s="700"/>
      <c r="P20" s="700"/>
      <c r="Q20" s="700"/>
    </row>
    <row r="21" spans="2:17">
      <c r="O21" s="700"/>
      <c r="P21" s="700"/>
      <c r="Q21" s="700"/>
    </row>
    <row r="22" spans="2:17">
      <c r="O22" s="90"/>
    </row>
    <row r="23" spans="2:17" s="279" customFormat="1">
      <c r="B23" s="278" t="s">
        <v>967</v>
      </c>
      <c r="C23" s="278"/>
      <c r="O23" s="280"/>
    </row>
    <row r="25" spans="2:17" ht="84.65" customHeight="1">
      <c r="B25" s="106" t="s">
        <v>900</v>
      </c>
      <c r="C25" s="106" t="s">
        <v>901</v>
      </c>
      <c r="D25" s="106" t="s">
        <v>902</v>
      </c>
      <c r="E25" s="106" t="s">
        <v>903</v>
      </c>
      <c r="F25" s="106" t="s">
        <v>904</v>
      </c>
      <c r="G25" s="106" t="s">
        <v>905</v>
      </c>
      <c r="H25" s="106" t="s">
        <v>906</v>
      </c>
      <c r="I25" s="106" t="s">
        <v>907</v>
      </c>
      <c r="J25" s="106" t="s">
        <v>908</v>
      </c>
      <c r="K25" s="106" t="s">
        <v>909</v>
      </c>
      <c r="L25" s="106" t="s">
        <v>910</v>
      </c>
      <c r="M25" s="106" t="s">
        <v>911</v>
      </c>
      <c r="O25" s="175" t="s">
        <v>968</v>
      </c>
      <c r="P25" s="175" t="s">
        <v>969</v>
      </c>
      <c r="Q25" s="175" t="s">
        <v>970</v>
      </c>
    </row>
    <row r="26" spans="2:17">
      <c r="B26" s="61" t="s">
        <v>89</v>
      </c>
      <c r="C26" s="93" t="s">
        <v>971</v>
      </c>
      <c r="D26" s="93" t="s">
        <v>916</v>
      </c>
      <c r="E26" s="565" t="s">
        <v>868</v>
      </c>
      <c r="F26" s="170" t="e">
        <f>F27</f>
        <v>#VALUE!</v>
      </c>
      <c r="G26" s="60">
        <f>IF(OR(Initial_questions!E$21="Waste Gasification with CCS",Initial_questions!E$21="Waste Gasification without CCS"),Waste_Fossil_Counterfactual!$C$8*Waste_Fossil_Counterfactual!$C$9-Waste_Fossil_Counterfactual!$C$10,0)</f>
        <v>0</v>
      </c>
      <c r="H26" s="58" t="e">
        <f>G26*F26</f>
        <v>#VALUE!</v>
      </c>
      <c r="I26" s="315" t="str">
        <f>IF(OR(Initial_questions!E$21="Waste Gasification with CCS",Initial_questions!E$21="Waste Gasification without CCS"),100%,"")</f>
        <v/>
      </c>
      <c r="J26" s="569" t="e">
        <f>J27*I26</f>
        <v>#VALUE!</v>
      </c>
      <c r="K26" s="59" t="e">
        <f>H26*J26</f>
        <v>#VALUE!</v>
      </c>
      <c r="L26" s="56" t="s">
        <v>868</v>
      </c>
      <c r="M26" s="314" t="e">
        <f>IF(D26="Default",L26,K26)</f>
        <v>#VALUE!</v>
      </c>
      <c r="O26" s="164" t="e" cm="1">
        <f t="array" ref="O26">IFERROR(INDEX(Proj_grid_intensity,MATCH(Operations_year,Proj_grid_year,0))/Conversion_kWh_to_MJ,"Yet to provide year")*22%/$E$40</f>
        <v>#VALUE!</v>
      </c>
      <c r="P26" s="164" t="e" cm="1">
        <f t="array" ref="P26">IFERROR(INDEX(Proj_grid_intensity,MATCH(Operations_year,Proj_grid_year,0))/Conversion_kWh_to_MJ,"Yet to provide year")*22%/$E$40</f>
        <v>#VALUE!</v>
      </c>
      <c r="Q26" s="164" t="e" cm="1">
        <f t="array" ref="Q26">IFERROR(INDEX(Proj_grid_intensity,MATCH(Operations_year,Proj_grid_year,0))/Conversion_kWh_to_MJ,"Yet to provide year")*22%/$E$40</f>
        <v>#VALUE!</v>
      </c>
    </row>
    <row r="27" spans="2:17">
      <c r="B27" s="61" t="s">
        <v>90</v>
      </c>
      <c r="C27" s="686" t="s">
        <v>942</v>
      </c>
      <c r="D27" s="706" t="str">
        <f>IF(Initial_questions!E$113="", IF(Initial_questions!E$112="", "User to enter in Initial Qus", Initial_questions!E$112), Initial_questions!E$113)</f>
        <v>User to enter in Initial Qus</v>
      </c>
      <c r="E27" s="57" t="str">
        <f>Waste_Collection!O20</f>
        <v>NA</v>
      </c>
      <c r="F27" s="170" t="e">
        <f>F28/E28</f>
        <v>#VALUE!</v>
      </c>
      <c r="G27" s="60">
        <f>Waste_Collection!V33</f>
        <v>0</v>
      </c>
      <c r="H27" s="58" t="e">
        <f t="shared" ref="H27:H30" si="6">G27*F27</f>
        <v>#VALUE!</v>
      </c>
      <c r="I27" s="315" t="str">
        <f>Waste_Collection!R20</f>
        <v/>
      </c>
      <c r="J27" s="57" t="e">
        <f t="shared" ref="J27:J28" si="7">J28*I27</f>
        <v>#VALUE!</v>
      </c>
      <c r="K27" s="59" t="e">
        <f t="shared" ref="K27:K30" si="8">H27*J27</f>
        <v>#VALUE!</v>
      </c>
      <c r="L27" s="709" t="str" cm="1">
        <f t="array" ref="L27">IF(Initial_questions!$E$111="No", "Feedstock does not match default", IF(OR(Path=Units!$B$137:$B$138),'Default data'!$D$23,"Pathway not chosen"))</f>
        <v>Pathway not chosen</v>
      </c>
      <c r="M27" s="711" t="e">
        <f>MAX(0,IF($D$27="Default",L27,SUM(K27:K30)))</f>
        <v>#VALUE!</v>
      </c>
      <c r="O27" s="701" t="str">
        <f>IF(Path=Units!$B$137,'Default data'!E$23,IF(Path=Units!$B$138, "Pathway not available from LCA tool","Pathway not chosen"))</f>
        <v>Pathway not chosen</v>
      </c>
      <c r="P27" s="701" t="str">
        <f>IF(Path=Units!$B$137,'Default data'!F$23,IF(Path=Units!$B$138, "Pathway not available from LCA tool","Pathway not chosen"))</f>
        <v>Pathway not chosen</v>
      </c>
      <c r="Q27" s="701" t="str">
        <f>IF(Path=Units!$B$137,'Default data'!G$23,IF(Path=Units!$B$138, "Pathway not available from LCA tool","Pathway not chosen"))</f>
        <v>Pathway not chosen</v>
      </c>
    </row>
    <row r="28" spans="2:17">
      <c r="B28" s="61" t="s">
        <v>91</v>
      </c>
      <c r="C28" s="687"/>
      <c r="D28" s="707"/>
      <c r="E28" s="57" t="str">
        <f>Waste_Transport!O20</f>
        <v/>
      </c>
      <c r="F28" s="170" t="e">
        <f>F29/E29</f>
        <v>#VALUE!</v>
      </c>
      <c r="G28" s="60">
        <f>Waste_Transport!V33</f>
        <v>0</v>
      </c>
      <c r="H28" s="58" t="e">
        <f t="shared" si="6"/>
        <v>#VALUE!</v>
      </c>
      <c r="I28" s="315" t="str">
        <f>Waste_Transport!R20</f>
        <v/>
      </c>
      <c r="J28" s="57" t="e">
        <f t="shared" si="7"/>
        <v>#VALUE!</v>
      </c>
      <c r="K28" s="59" t="e">
        <f t="shared" si="8"/>
        <v>#VALUE!</v>
      </c>
      <c r="L28" s="710"/>
      <c r="M28" s="712"/>
      <c r="O28" s="702"/>
      <c r="P28" s="702"/>
      <c r="Q28" s="702"/>
    </row>
    <row r="29" spans="2:17">
      <c r="B29" s="61" t="s">
        <v>92</v>
      </c>
      <c r="C29" s="687"/>
      <c r="D29" s="707"/>
      <c r="E29" s="57" t="str">
        <f>'Waste_Pre-Processing'!O20</f>
        <v/>
      </c>
      <c r="F29" s="170" t="e">
        <f>F30/E30</f>
        <v>#VALUE!</v>
      </c>
      <c r="G29" s="60">
        <f>'Waste_Pre-Processing'!V47</f>
        <v>0</v>
      </c>
      <c r="H29" s="58" t="e">
        <f t="shared" si="6"/>
        <v>#VALUE!</v>
      </c>
      <c r="I29" s="315" t="str">
        <f>'Waste_Pre-Processing'!R20</f>
        <v/>
      </c>
      <c r="J29" s="57" t="e">
        <f>J30*I29</f>
        <v>#VALUE!</v>
      </c>
      <c r="K29" s="59" t="e">
        <f t="shared" si="8"/>
        <v>#VALUE!</v>
      </c>
      <c r="L29" s="710"/>
      <c r="M29" s="712"/>
      <c r="O29" s="702"/>
      <c r="P29" s="702"/>
      <c r="Q29" s="702"/>
    </row>
    <row r="30" spans="2:17">
      <c r="B30" s="61" t="s">
        <v>93</v>
      </c>
      <c r="C30" s="688"/>
      <c r="D30" s="708"/>
      <c r="E30" s="57" t="str">
        <f>Waste_Further_Transport!O20</f>
        <v/>
      </c>
      <c r="F30" s="170" t="e">
        <f>F31/E31</f>
        <v>#VALUE!</v>
      </c>
      <c r="G30" s="60">
        <f>Waste_Further_Transport!V33</f>
        <v>0</v>
      </c>
      <c r="H30" s="58" t="e">
        <f t="shared" si="6"/>
        <v>#VALUE!</v>
      </c>
      <c r="I30" s="315" t="str">
        <f>Waste_Further_Transport!R20</f>
        <v/>
      </c>
      <c r="J30" s="57" t="e">
        <f>J31*I30</f>
        <v>#VALUE!</v>
      </c>
      <c r="K30" s="59" t="e">
        <f t="shared" si="8"/>
        <v>#VALUE!</v>
      </c>
      <c r="L30" s="710"/>
      <c r="M30" s="713"/>
      <c r="O30" s="703"/>
      <c r="P30" s="703"/>
      <c r="Q30" s="703"/>
    </row>
    <row r="31" spans="2:17">
      <c r="B31" s="686" t="s">
        <v>972</v>
      </c>
      <c r="C31" s="61" t="s">
        <v>128</v>
      </c>
      <c r="D31" s="313" t="str">
        <f>IF(Initial_questions!E$114="", IF(Initial_questions!E$112="", "User to enter in Initial Qus", Initial_questions!E$112), Initial_questions!E$114)</f>
        <v>User to enter in Initial Qus</v>
      </c>
      <c r="E31" s="677" t="str">
        <f>Waste_Gasification_CCS!O9</f>
        <v/>
      </c>
      <c r="F31" s="680">
        <v>1</v>
      </c>
      <c r="G31" s="60">
        <f>Waste_Gasification_CCS!V20</f>
        <v>0</v>
      </c>
      <c r="H31" s="58">
        <f>G31*$F$31</f>
        <v>0</v>
      </c>
      <c r="I31" s="720" t="str">
        <f>Waste_Gasification_CCS!R9</f>
        <v/>
      </c>
      <c r="J31" s="677" t="str">
        <f>I31</f>
        <v/>
      </c>
      <c r="K31" s="59" t="e">
        <f>H31*$J$31</f>
        <v>#VALUE!</v>
      </c>
      <c r="L31" s="170" t="str" cm="1">
        <f t="array" ref="L31">IF(Initial_questions!$E$111="No", "Feedstock does not match default", IF(OR(Path=Units!$B$137:$B$138),'Default data'!$D$39,"Pathway not chosen"))</f>
        <v>Pathway not chosen</v>
      </c>
      <c r="M31" s="314" t="e">
        <f>IF(D31="Default",L31,K31)</f>
        <v>#VALUE!</v>
      </c>
      <c r="O31" s="164" t="str">
        <f>IF(Path=Units!$B$137,'Default data'!E$39,IF(Path=Units!$B$138, "Pathway not available from LCA tool","Pathway not chosen"))</f>
        <v>Pathway not chosen</v>
      </c>
      <c r="P31" s="164" t="str">
        <f>IF(Path=Units!$B$137,'Default data'!F$39,IF(Path=Units!$B$138, "Pathway not available from LCA tool","Pathway not chosen"))</f>
        <v>Pathway not chosen</v>
      </c>
      <c r="Q31" s="164" t="str">
        <f>IF(Path=Units!$B$137,'Default data'!G$39,IF(Path=Units!$B$138, "Pathway not available from LCA tool","Pathway not chosen"))</f>
        <v>Pathway not chosen</v>
      </c>
    </row>
    <row r="32" spans="2:17">
      <c r="B32" s="687"/>
      <c r="C32" s="61" t="s">
        <v>129</v>
      </c>
      <c r="D32" s="313" t="str">
        <f>IF(Initial_questions!E$115="", IF(Initial_questions!E$112="", "User to enter in Initial Qus", Initial_questions!E$112), Initial_questions!E$115)</f>
        <v>User to enter in Initial Qus</v>
      </c>
      <c r="E32" s="678"/>
      <c r="F32" s="681"/>
      <c r="G32" s="60">
        <f>Waste_Gasification_CCS!V33</f>
        <v>0</v>
      </c>
      <c r="H32" s="58">
        <f t="shared" ref="H32:H36" si="9">G32*$F$31</f>
        <v>0</v>
      </c>
      <c r="I32" s="721"/>
      <c r="J32" s="678"/>
      <c r="K32" s="59" t="e">
        <f t="shared" ref="K32:K36" si="10">H32*$J$31</f>
        <v>#VALUE!</v>
      </c>
      <c r="L32" s="170" t="str" cm="1">
        <f t="array" ref="L32">IF(Initial_questions!$E$111="No", "Feedstock does not match default", IF(OR(Path=Units!$B$137:$B$138),'Default data'!$D$55,"Pathway not chosen"))</f>
        <v>Pathway not chosen</v>
      </c>
      <c r="M32" s="314" t="e">
        <f>IF(D32="Default",L32,K32)</f>
        <v>#VALUE!</v>
      </c>
      <c r="O32" s="164" t="str">
        <f>IF(Path=Units!$B$137,'Default data'!E$55,IF(Path=Units!$B$138, "Pathway not available from LCA tool","Pathway not chosen"))</f>
        <v>Pathway not chosen</v>
      </c>
      <c r="P32" s="164" t="str">
        <f>IF(Path=Units!$B$137,'Default data'!F$55,IF(Path=Units!$B$138, "Pathway not available from LCA tool","Pathway not chosen"))</f>
        <v>Pathway not chosen</v>
      </c>
      <c r="Q32" s="164" t="str">
        <f>IF(Path=Units!$B$137,'Default data'!G$55,IF(Path=Units!$B$138, "Pathway not available from LCA tool","Pathway not chosen"))</f>
        <v>Pathway not chosen</v>
      </c>
    </row>
    <row r="33" spans="2:17" ht="16.5">
      <c r="B33" s="687"/>
      <c r="C33" s="61" t="s">
        <v>915</v>
      </c>
      <c r="D33" s="61" t="s">
        <v>916</v>
      </c>
      <c r="E33" s="678"/>
      <c r="F33" s="681"/>
      <c r="G33" s="60">
        <f>Waste_Gasification_CCS!V52</f>
        <v>0</v>
      </c>
      <c r="H33" s="58">
        <f>G33*$F$31</f>
        <v>0</v>
      </c>
      <c r="I33" s="721"/>
      <c r="J33" s="678"/>
      <c r="K33" s="59" t="e">
        <f t="shared" si="10"/>
        <v>#VALUE!</v>
      </c>
      <c r="L33" s="56" t="s">
        <v>868</v>
      </c>
      <c r="M33" s="314" t="e">
        <f>IF(D33="Default",L33,K33)</f>
        <v>#VALUE!</v>
      </c>
      <c r="O33" s="164" t="str">
        <f>IF(Path=Units!$B$137,'Default data'!E$71,IF(Path=Units!$B$138, "Pathway not available from LCA tool","Pathway not chosen"))</f>
        <v>Pathway not chosen</v>
      </c>
      <c r="P33" s="164" t="str">
        <f>IF(Path=Units!$B$137,'Default data'!F$71,IF(Path=Units!$B$138, "Pathway not available from LCA tool","Pathway not chosen"))</f>
        <v>Pathway not chosen</v>
      </c>
      <c r="Q33" s="164" t="str">
        <f>IF(Path=Units!$B$137,'Default data'!G$71,IF(Path=Units!$B$138, "Pathway not available from LCA tool","Pathway not chosen"))</f>
        <v>Pathway not chosen</v>
      </c>
    </row>
    <row r="34" spans="2:17" ht="16.5">
      <c r="B34" s="687"/>
      <c r="C34" s="93" t="s">
        <v>917</v>
      </c>
      <c r="D34" s="61" t="s">
        <v>916</v>
      </c>
      <c r="E34" s="678"/>
      <c r="F34" s="681"/>
      <c r="G34" s="60">
        <f>Waste_Gasification_CCS!V64</f>
        <v>0</v>
      </c>
      <c r="H34" s="58">
        <f t="shared" si="9"/>
        <v>0</v>
      </c>
      <c r="I34" s="721"/>
      <c r="J34" s="678"/>
      <c r="K34" s="59" t="e">
        <f t="shared" si="10"/>
        <v>#VALUE!</v>
      </c>
      <c r="L34" s="56" t="s">
        <v>868</v>
      </c>
      <c r="M34" s="314" t="e">
        <f>IF(D34="Default",L34,K34)</f>
        <v>#VALUE!</v>
      </c>
      <c r="O34" s="164" t="str">
        <f>IF(Path=Units!$B$137,'Default data'!E$87,IF(Path=Units!$B$138, "Pathway not available from LCA tool","Pathway not chosen"))</f>
        <v>Pathway not chosen</v>
      </c>
      <c r="P34" s="164" t="str">
        <f>IF(Path=Units!$B$137,'Default data'!F$87,IF(Path=Units!$B$138, "Pathway not available from LCA tool","Pathway not chosen"))</f>
        <v>Pathway not chosen</v>
      </c>
      <c r="Q34" s="164" t="str">
        <f>IF(Path=Units!$B$137,'Default data'!G$87,IF(Path=Units!$B$138, "Pathway not available from LCA tool","Pathway not chosen"))</f>
        <v>Pathway not chosen</v>
      </c>
    </row>
    <row r="35" spans="2:17" ht="16.5">
      <c r="B35" s="687"/>
      <c r="C35" s="93" t="s">
        <v>918</v>
      </c>
      <c r="D35" s="61" t="s">
        <v>916</v>
      </c>
      <c r="E35" s="678"/>
      <c r="F35" s="681"/>
      <c r="G35" s="60">
        <f>Waste_Gasification_CCS!V79</f>
        <v>0</v>
      </c>
      <c r="H35" s="58">
        <f t="shared" si="9"/>
        <v>0</v>
      </c>
      <c r="I35" s="721"/>
      <c r="J35" s="678"/>
      <c r="K35" s="59" t="e">
        <f t="shared" si="10"/>
        <v>#VALUE!</v>
      </c>
      <c r="L35" s="56" t="s">
        <v>868</v>
      </c>
      <c r="M35" s="314" t="e">
        <f t="shared" ref="M35" si="11">IF(D35="Default",L35,K35)</f>
        <v>#VALUE!</v>
      </c>
      <c r="O35" s="164" t="str">
        <f>IF(Path=Units!$B$137,'Default data'!E$103,IF(Path=Units!$B$138, "Pathway not available from LCA tool","Pathway not chosen"))</f>
        <v>Pathway not chosen</v>
      </c>
      <c r="P35" s="164" t="str">
        <f>IF(Path=Units!$B$137,'Default data'!F$103,IF(Path=Units!$B$138, "Pathway not available from LCA tool","Pathway not chosen"))</f>
        <v>Pathway not chosen</v>
      </c>
      <c r="Q35" s="164" t="str">
        <f>IF(Path=Units!$B$137,'Default data'!G$103,IF(Path=Units!$B$138, "Pathway not available from LCA tool","Pathway not chosen"))</f>
        <v>Pathway not chosen</v>
      </c>
    </row>
    <row r="36" spans="2:17" ht="16.5">
      <c r="B36" s="688"/>
      <c r="C36" s="61" t="s">
        <v>919</v>
      </c>
      <c r="D36" s="61" t="s">
        <v>916</v>
      </c>
      <c r="E36" s="679"/>
      <c r="F36" s="682"/>
      <c r="G36" s="60">
        <f>Waste_Gasification_CCS!V91</f>
        <v>0</v>
      </c>
      <c r="H36" s="58">
        <f t="shared" si="9"/>
        <v>0</v>
      </c>
      <c r="I36" s="722"/>
      <c r="J36" s="679"/>
      <c r="K36" s="59" t="e">
        <f t="shared" si="10"/>
        <v>#VALUE!</v>
      </c>
      <c r="L36" s="56" t="s">
        <v>868</v>
      </c>
      <c r="M36" s="314" t="e">
        <f>IF(D36="Default",L36,K36)</f>
        <v>#VALUE!</v>
      </c>
      <c r="O36" s="164" t="str">
        <f>IF(Path=Units!$B$137,'Default data'!E$119,IF(Path=Units!$B$138, "Pathway not available from LCA tool","Pathway not chosen"))</f>
        <v>Pathway not chosen</v>
      </c>
      <c r="P36" s="164" t="str">
        <f>IF(Path=Units!$B$137,'Default data'!F$119,IF(Path=Units!$B$138, "Pathway not available from LCA tool","Pathway not chosen"))</f>
        <v>Pathway not chosen</v>
      </c>
      <c r="Q36" s="164" t="str">
        <f>IF(Path=Units!$B$137,'Default data'!G$119,IF(Path=Units!$B$138, "Pathway not available from LCA tool","Pathway not chosen"))</f>
        <v>Pathway not chosen</v>
      </c>
    </row>
    <row r="37" spans="2:17" ht="29.15" customHeight="1">
      <c r="B37" s="61" t="s">
        <v>920</v>
      </c>
      <c r="C37" s="689" t="s">
        <v>921</v>
      </c>
      <c r="D37" s="61" t="s">
        <v>973</v>
      </c>
      <c r="E37" s="104"/>
      <c r="F37" s="104"/>
      <c r="G37" s="104"/>
      <c r="H37" s="104"/>
      <c r="I37" s="104"/>
      <c r="J37" s="104"/>
      <c r="K37" s="104"/>
      <c r="L37" s="522" t="str">
        <f>'Typical data'!$D$331</f>
        <v>Yet to provide pressure or electricity source</v>
      </c>
      <c r="M37" s="521" t="str">
        <f>L37</f>
        <v>Yet to provide pressure or electricity source</v>
      </c>
      <c r="O37" s="164" t="s">
        <v>923</v>
      </c>
      <c r="P37" s="164" t="s">
        <v>923</v>
      </c>
      <c r="Q37" s="164" t="s">
        <v>923</v>
      </c>
    </row>
    <row r="38" spans="2:17" ht="29">
      <c r="B38" s="61" t="s">
        <v>924</v>
      </c>
      <c r="C38" s="690"/>
      <c r="D38" s="61" t="s">
        <v>974</v>
      </c>
      <c r="E38" s="104"/>
      <c r="F38" s="104"/>
      <c r="G38" s="104"/>
      <c r="H38" s="564"/>
      <c r="I38" s="104"/>
      <c r="J38" s="104"/>
      <c r="K38" s="104"/>
      <c r="L38" s="524" t="str">
        <f>'Typical data'!$D$349</f>
        <v>Yet to provide electricity source</v>
      </c>
      <c r="M38" s="521" t="str">
        <f>L38</f>
        <v>Yet to provide electricity source</v>
      </c>
      <c r="O38" s="164" t="s">
        <v>923</v>
      </c>
      <c r="P38" s="164" t="s">
        <v>923</v>
      </c>
      <c r="Q38" s="164" t="s">
        <v>923</v>
      </c>
    </row>
    <row r="40" spans="2:17" ht="18.5">
      <c r="B40" s="97" t="s">
        <v>926</v>
      </c>
      <c r="C40" s="98"/>
      <c r="D40" s="98"/>
      <c r="E40" s="99">
        <f>PRODUCT(E26:E38)</f>
        <v>0</v>
      </c>
      <c r="F40" s="100"/>
      <c r="G40" s="100"/>
      <c r="H40" s="100"/>
      <c r="I40" s="101"/>
      <c r="J40" s="101"/>
      <c r="K40" s="101"/>
      <c r="L40" s="101"/>
      <c r="M40" s="102" t="str">
        <f>IF(COUNTIF(M26:M38,"*")&gt;0,"Pathway not chosen",SUM(M27:M38))</f>
        <v>Pathway not chosen</v>
      </c>
      <c r="O40" s="164" t="e" cm="1">
        <f t="array" ref="O40">IF(Path=Units!$B$137,'Default data'!E$150,IF(Path=Units!$B$138, "Pathway not available from LCA tool","Pathway not chosen"))+IFERROR(INDEX(Proj_grid_intensity,MATCH(Operations_year,Proj_grid_year,0))/Conversion_kWh_to_MJ,"Yet to provide year")*22%/$E$40</f>
        <v>#VALUE!</v>
      </c>
      <c r="P40" s="164" t="e" cm="1">
        <f t="array" ref="P40">IF(Path=Units!$B$137,'Default data'!F$150,IF(Path=Units!$B$138, "Pathway not available from LCA tool","Pathway not chosen"))+IFERROR(INDEX(Proj_grid_intensity,MATCH(Operations_year,Proj_grid_year,0))/Conversion_kWh_to_MJ,"Yet to provide year")*22%/$E$40</f>
        <v>#VALUE!</v>
      </c>
      <c r="Q40" s="164" t="e" cm="1">
        <f t="array" ref="Q40">IF(Path=Units!$B$137,'Default data'!G$150,IF(Path=Units!$B$138, "Pathway not available from LCA tool","Pathway not chosen"))+IFERROR(INDEX(Proj_grid_intensity,MATCH(Operations_year,Proj_grid_year,0))/Conversion_kWh_to_MJ,"Yet to provide year")*22%/$E$40</f>
        <v>#VALUE!</v>
      </c>
    </row>
    <row r="41" spans="2:17" ht="18.5">
      <c r="B41" s="97" t="s">
        <v>927</v>
      </c>
      <c r="C41" s="98"/>
      <c r="D41" s="98"/>
      <c r="E41" s="101"/>
      <c r="F41" s="101"/>
      <c r="G41" s="101"/>
      <c r="H41" s="101"/>
      <c r="I41" s="101"/>
      <c r="J41" s="101"/>
      <c r="K41" s="101"/>
      <c r="L41" s="101"/>
      <c r="M41" s="103">
        <v>20</v>
      </c>
      <c r="O41" s="700" t="s">
        <v>966</v>
      </c>
      <c r="P41" s="700"/>
      <c r="Q41" s="700"/>
    </row>
    <row r="42" spans="2:17" ht="18.5">
      <c r="B42" s="101"/>
      <c r="C42" s="101"/>
      <c r="D42" s="101"/>
      <c r="E42" s="101"/>
      <c r="F42" s="101"/>
      <c r="G42" s="101"/>
      <c r="H42" s="101"/>
      <c r="I42" s="101"/>
      <c r="J42" s="101"/>
      <c r="K42" s="101"/>
      <c r="L42" s="101"/>
      <c r="M42" s="101"/>
      <c r="O42" s="700"/>
      <c r="P42" s="700"/>
      <c r="Q42" s="700"/>
    </row>
    <row r="43" spans="2:17">
      <c r="O43" s="700"/>
      <c r="P43" s="700"/>
      <c r="Q43" s="700"/>
    </row>
    <row r="45" spans="2:17">
      <c r="O45" s="275"/>
    </row>
    <row r="46" spans="2:17">
      <c r="J46" s="275"/>
      <c r="O46" s="275"/>
    </row>
    <row r="47" spans="2:17">
      <c r="O47" s="275"/>
    </row>
  </sheetData>
  <customSheetViews>
    <customSheetView guid="{2D920366-22B2-4182-A65D-0EDBE614FB37}" showGridLines="0">
      <pane xSplit="3" topLeftCell="D1" activePane="topRight" state="frozen"/>
      <selection pane="topRight"/>
      <pageMargins left="0" right="0" top="0" bottom="0" header="0" footer="0"/>
      <pageSetup paperSize="9" orientation="portrait" r:id="rId1"/>
    </customSheetView>
    <customSheetView guid="{F468A2FD-7987-4A9D-8BAE-1AACE523607F}" showGridLines="0">
      <pane xSplit="3" topLeftCell="D1" activePane="topRight" state="frozen"/>
      <selection pane="topRight"/>
      <pageMargins left="0" right="0" top="0" bottom="0" header="0" footer="0"/>
      <pageSetup paperSize="9" orientation="portrait" r:id="rId2"/>
    </customSheetView>
    <customSheetView guid="{D97B1299-69D0-4EE0-B673-CCF74742F96B}" state="hidden">
      <selection activeCell="D2" sqref="D2"/>
      <pageMargins left="0" right="0" top="0" bottom="0" header="0" footer="0"/>
      <pageSetup paperSize="9" orientation="portrait" r:id="rId3"/>
    </customSheetView>
    <customSheetView guid="{3F0A4FBA-5323-448F-A023-B3E14C54064C}" showGridLines="0" state="hidden">
      <pane xSplit="3" topLeftCell="D1" activePane="topRight" state="frozen"/>
      <selection pane="topRight" activeCell="D2" sqref="D2"/>
      <pageMargins left="0" right="0" top="0" bottom="0" header="0" footer="0"/>
      <pageSetup paperSize="9" orientation="portrait" r:id="rId4"/>
    </customSheetView>
    <customSheetView guid="{E6EFD927-84B2-4D06-BB59-59D9DF522DA2}" showGridLines="0" state="hidden">
      <pane xSplit="3" topLeftCell="D1" activePane="topRight" state="frozen"/>
      <selection pane="topRight"/>
      <pageMargins left="0" right="0" top="0" bottom="0" header="0" footer="0"/>
      <pageSetup paperSize="9" orientation="portrait" r:id="rId5"/>
    </customSheetView>
    <customSheetView guid="{0E935136-9A80-44B6-88D5-61E64D742049}" showGridLines="0" state="hidden">
      <pane xSplit="3" topLeftCell="D1" activePane="topRight" state="frozen"/>
      <selection pane="topRight"/>
      <pageMargins left="0" right="0" top="0" bottom="0" header="0" footer="0"/>
      <pageSetup paperSize="9" orientation="portrait" r:id="rId6"/>
    </customSheetView>
    <customSheetView guid="{1C16EB38-F785-4168-9938-104594734038}" showGridLines="0" state="hidden">
      <pane xSplit="3" topLeftCell="D1" activePane="topRight" state="frozen"/>
      <selection pane="topRight"/>
      <pageMargins left="0" right="0" top="0" bottom="0" header="0" footer="0"/>
      <pageSetup paperSize="9" orientation="portrait" r:id="rId7"/>
    </customSheetView>
    <customSheetView guid="{EECBF9DF-6D77-4263-85DA-71E40216BADD}" showGridLines="0" state="hidden">
      <pane xSplit="3" topLeftCell="D1" activePane="topRight" state="frozen"/>
      <selection pane="topRight"/>
      <pageMargins left="0" right="0" top="0" bottom="0" header="0" footer="0"/>
      <pageSetup paperSize="9" orientation="portrait" r:id="rId8"/>
    </customSheetView>
    <customSheetView guid="{F03309BC-D3FA-4CF2-833B-D6D9A95FE1FB}" showGridLines="0" state="hidden">
      <pane xSplit="3" topLeftCell="D1" activePane="topRight" state="frozen"/>
      <selection pane="topRight" activeCell="D2" sqref="D2"/>
      <pageMargins left="0" right="0" top="0" bottom="0" header="0" footer="0"/>
      <pageSetup paperSize="9" orientation="portrait" r:id="rId9"/>
    </customSheetView>
  </customSheetViews>
  <mergeCells count="28">
    <mergeCell ref="O41:Q43"/>
    <mergeCell ref="O5:O8"/>
    <mergeCell ref="P5:P8"/>
    <mergeCell ref="Q5:Q8"/>
    <mergeCell ref="C15:C16"/>
    <mergeCell ref="C37:C38"/>
    <mergeCell ref="C5:C8"/>
    <mergeCell ref="C27:C30"/>
    <mergeCell ref="D5:D8"/>
    <mergeCell ref="D27:D30"/>
    <mergeCell ref="L5:L8"/>
    <mergeCell ref="L27:L30"/>
    <mergeCell ref="O19:Q21"/>
    <mergeCell ref="O27:O30"/>
    <mergeCell ref="P27:P30"/>
    <mergeCell ref="Q27:Q30"/>
    <mergeCell ref="M5:M8"/>
    <mergeCell ref="M27:M30"/>
    <mergeCell ref="B9:B14"/>
    <mergeCell ref="E9:E14"/>
    <mergeCell ref="F9:F14"/>
    <mergeCell ref="I9:I14"/>
    <mergeCell ref="J9:J14"/>
    <mergeCell ref="B31:B36"/>
    <mergeCell ref="E31:E36"/>
    <mergeCell ref="F31:F36"/>
    <mergeCell ref="I31:I36"/>
    <mergeCell ref="J31:J36"/>
  </mergeCells>
  <pageMargins left="0" right="0" top="0" bottom="0" header="0" footer="0"/>
  <pageSetup paperSize="9" orientation="portrait" r:id="rId10"/>
  <extLst>
    <ext xmlns:x14="http://schemas.microsoft.com/office/spreadsheetml/2009/9/main" uri="{78C0D931-6437-407d-A8EE-F0AAD7539E65}">
      <x14:conditionalFormattings>
        <x14:conditionalFormatting xmlns:xm="http://schemas.microsoft.com/office/excel/2006/main">
          <x14:cfRule type="expression" priority="35" id="{25872DAB-A3F0-4E99-B667-0A798B468697}">
            <xm:f>AND(Path&lt;&gt;Units!$B$137,Path&lt;&gt;Units!$B$138,Master_Switch="On")</xm:f>
            <x14:dxf>
              <font>
                <color theme="0"/>
              </font>
              <fill>
                <patternFill>
                  <bgColor theme="0"/>
                </patternFill>
              </fill>
              <border>
                <left/>
                <right/>
                <top/>
                <bottom/>
                <vertical/>
                <horizontal/>
              </border>
            </x14:dxf>
          </x14:cfRule>
          <xm:sqref>A2:XFD200</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6E05A-CB49-4074-8ED9-1FAEC01B9B2D}">
  <sheetPr codeName="Sheet15">
    <tabColor rgb="FFFF66CC"/>
  </sheetPr>
  <dimension ref="A1:O25"/>
  <sheetViews>
    <sheetView showGridLines="0" zoomScaleNormal="100" workbookViewId="0">
      <pane xSplit="3" topLeftCell="D1" activePane="topRight" state="frozen"/>
      <selection pane="topRight"/>
    </sheetView>
  </sheetViews>
  <sheetFormatPr defaultColWidth="8.81640625" defaultRowHeight="14.5"/>
  <cols>
    <col min="1" max="1" width="4.54296875" customWidth="1"/>
    <col min="2" max="2" width="32.453125" customWidth="1"/>
    <col min="3" max="3" width="30.54296875" customWidth="1"/>
    <col min="4" max="4" width="29.26953125" customWidth="1"/>
    <col min="5" max="5" width="15.81640625" customWidth="1"/>
    <col min="6" max="6" width="31.81640625" customWidth="1"/>
    <col min="7" max="7" width="28.54296875" customWidth="1"/>
    <col min="8" max="8" width="30.453125" customWidth="1"/>
    <col min="9" max="10" width="26.81640625" customWidth="1"/>
    <col min="11" max="11" width="35.1796875" customWidth="1"/>
    <col min="12" max="12" width="20.81640625" customWidth="1"/>
    <col min="13" max="13" width="29" customWidth="1"/>
    <col min="15" max="15" width="30.1796875" customWidth="1"/>
    <col min="16" max="16" width="28.81640625" customWidth="1"/>
    <col min="17" max="17" width="28.54296875" customWidth="1"/>
  </cols>
  <sheetData>
    <row r="1" spans="1:13" ht="31">
      <c r="A1" s="80" t="str">
        <f>IF(AND(Path&lt;&gt;Units!$B$139,Master_Switch="On"),"User should not use this worksheet, but switch to a non-blank GHG summary worksheets","")</f>
        <v>User should not use this worksheet, but switch to a non-blank GHG summary worksheets</v>
      </c>
    </row>
    <row r="2" spans="1:13" ht="84.65" customHeight="1">
      <c r="B2" s="106" t="s">
        <v>900</v>
      </c>
      <c r="C2" s="106" t="s">
        <v>901</v>
      </c>
      <c r="D2" s="106" t="s">
        <v>902</v>
      </c>
      <c r="E2" s="106" t="s">
        <v>903</v>
      </c>
      <c r="F2" s="106" t="s">
        <v>904</v>
      </c>
      <c r="G2" s="106" t="s">
        <v>905</v>
      </c>
      <c r="H2" s="106" t="s">
        <v>906</v>
      </c>
      <c r="I2" s="106" t="s">
        <v>907</v>
      </c>
      <c r="J2" s="106" t="s">
        <v>908</v>
      </c>
      <c r="K2" s="106" t="s">
        <v>909</v>
      </c>
      <c r="L2" s="106" t="s">
        <v>910</v>
      </c>
      <c r="M2" s="106" t="s">
        <v>911</v>
      </c>
    </row>
    <row r="3" spans="1:13">
      <c r="B3" s="61" t="s">
        <v>89</v>
      </c>
      <c r="C3" s="93" t="s">
        <v>975</v>
      </c>
      <c r="D3" s="93" t="s">
        <v>916</v>
      </c>
      <c r="E3" s="565" t="s">
        <v>868</v>
      </c>
      <c r="F3" s="170" t="e">
        <f>F6</f>
        <v>#VALUE!</v>
      </c>
      <c r="G3" s="169">
        <f>IF(AND(Path="Other",Initial_questions!$E$27=Units!$L$126),Waste_Fossil_Counterfactual!$C$8*Waste_Fossil_Counterfactual!$C$9-Waste_Fossil_Counterfactual!$C$10,0)</f>
        <v>0</v>
      </c>
      <c r="H3" s="58" t="e">
        <f>G3*F3</f>
        <v>#VALUE!</v>
      </c>
      <c r="I3" s="317" t="str">
        <f>IF(AND(Initial_questions!E$21="Other",Initial_questions!$E$27=Units!$L$126),100%,"")</f>
        <v/>
      </c>
      <c r="J3" s="569" t="e">
        <f>J6*I3</f>
        <v>#VALUE!</v>
      </c>
      <c r="K3" s="59" t="e">
        <f>H3*J3</f>
        <v>#VALUE!</v>
      </c>
      <c r="L3" s="56" t="s">
        <v>868</v>
      </c>
      <c r="M3" s="314" t="e">
        <f>K3</f>
        <v>#VALUE!</v>
      </c>
    </row>
    <row r="4" spans="1:13">
      <c r="B4" s="61" t="s">
        <v>976</v>
      </c>
      <c r="C4" s="686" t="s">
        <v>942</v>
      </c>
      <c r="D4" s="61" t="s">
        <v>916</v>
      </c>
      <c r="E4" s="57" t="str">
        <f>IF(AND(Initial_questions!$E$68&lt;&gt;Units!$T$120, Initial_questions!$E$68&lt;&gt;Units!$T$121, Initial_questions!$E$68&lt;&gt;Units!$T$122, Initial_questions!$E$68&lt;&gt;Units!$T$123), "NA", Generic_Feedstock_Cultivation!O20)</f>
        <v>NA</v>
      </c>
      <c r="F4" s="170" t="str">
        <f>IF(AND(Initial_questions!$E$68&lt;&gt;Units!$T$120, Initial_questions!$E$68&lt;&gt;Units!$T$121, Initial_questions!$E$68&lt;&gt;Units!$T$122, Initial_questions!$E$68&lt;&gt;Units!$T$123),"NA",F5/E5)</f>
        <v>NA</v>
      </c>
      <c r="G4" s="169">
        <f>Generic_Feedstock_Cultivation!V39</f>
        <v>0</v>
      </c>
      <c r="H4" s="58" t="str">
        <f>IF(AND(Initial_questions!$E$68&lt;&gt;Units!$T$120, Initial_questions!$E$68&lt;&gt;Units!$T$121, Initial_questions!$E$68&lt;&gt;Units!$T$122, Initial_questions!$E$68&lt;&gt;Units!$T$123),"NA",G4*F4)</f>
        <v>NA</v>
      </c>
      <c r="I4" s="317" t="str">
        <f>IF(AND(Initial_questions!$E$68&lt;&gt;Units!$T$120, Initial_questions!$E$68&lt;&gt;Units!$T$121, Initial_questions!$E$68&lt;&gt;Units!$T$122, Initial_questions!$E$68&lt;&gt;Units!$T$123),"NA",Generic_Feedstock_Cultivation!R20)</f>
        <v>NA</v>
      </c>
      <c r="J4" s="57" t="str">
        <f>IF(AND(Initial_questions!$E$68&lt;&gt;Units!$T$120, Initial_questions!$E$68&lt;&gt;Units!$T$121, Initial_questions!$E$68&lt;&gt;Units!$T$122, Initial_questions!$E$68&lt;&gt;Units!$T$123),"NA",J5*I4)</f>
        <v>NA</v>
      </c>
      <c r="K4" s="59">
        <f>IF(AND(Initial_questions!$E$68&lt;&gt;Units!$T$120, Initial_questions!$E$68&lt;&gt;Units!$T$121, Initial_questions!$E$68&lt;&gt;Units!$T$122, Initial_questions!$E$68&lt;&gt;Units!$T$123),0,H4*J4)</f>
        <v>0</v>
      </c>
      <c r="L4" s="56" t="s">
        <v>868</v>
      </c>
      <c r="M4" s="711" t="e">
        <f>MAX(0,SUM(K4:K9))</f>
        <v>#VALUE!</v>
      </c>
    </row>
    <row r="5" spans="1:13">
      <c r="B5" s="61" t="s">
        <v>977</v>
      </c>
      <c r="C5" s="687"/>
      <c r="D5" s="61" t="s">
        <v>916</v>
      </c>
      <c r="E5" s="57" t="str">
        <f>IF(AND(Initial_questions!$E$68&lt;&gt;Units!$T$120, Initial_questions!$E$68&lt;&gt;Units!$T$121, Initial_questions!$E$68&lt;&gt;Units!$T$122, Initial_questions!$E$68&lt;&gt;Units!$T$123),"NA",Generic_Feedstock_Harvesting!O20)</f>
        <v>NA</v>
      </c>
      <c r="F5" s="170" t="e">
        <f>F6/E6</f>
        <v>#VALUE!</v>
      </c>
      <c r="G5" s="169">
        <f>Generic_Feedstock_Harvesting!V33</f>
        <v>0</v>
      </c>
      <c r="H5" s="58" t="e">
        <f>G5*F5</f>
        <v>#VALUE!</v>
      </c>
      <c r="I5" s="317" t="str">
        <f>IF(AND(Initial_questions!$E$68&lt;&gt;Units!$T$120, Initial_questions!$E$68&lt;&gt;Units!$T$121, Initial_questions!$E$68&lt;&gt;Units!$T$122, Initial_questions!$E$68&lt;&gt;Units!$T$123),"NA",Generic_Feedstock_Harvesting!R20)</f>
        <v>NA</v>
      </c>
      <c r="J5" s="57" t="str">
        <f>IF(AND(Initial_questions!$E$68&lt;&gt;Units!$T$120, Initial_questions!$E$68&lt;&gt;Units!$T$121, Initial_questions!$E$68&lt;&gt;Units!$T$122, Initial_questions!$E$68&lt;&gt;Units!$T$123),"NA",J6*I5)</f>
        <v>NA</v>
      </c>
      <c r="K5" s="59">
        <f>IF(AND(Initial_questions!$E$68&lt;&gt;Units!$T$120, Initial_questions!$E$68&lt;&gt;Units!$T$121, Initial_questions!$E$68&lt;&gt;Units!$T$122, Initial_questions!$E$68&lt;&gt;Units!$T$123),0,H5*J5)</f>
        <v>0</v>
      </c>
      <c r="L5" s="56" t="s">
        <v>868</v>
      </c>
      <c r="M5" s="712"/>
    </row>
    <row r="6" spans="1:13">
      <c r="B6" s="61" t="s">
        <v>978</v>
      </c>
      <c r="C6" s="687"/>
      <c r="D6" s="61" t="s">
        <v>916</v>
      </c>
      <c r="E6" s="57" t="str">
        <f>Generic_Feedstock_Collection!O20</f>
        <v/>
      </c>
      <c r="F6" s="170" t="e">
        <f>F7/E7</f>
        <v>#VALUE!</v>
      </c>
      <c r="G6" s="169">
        <f>Generic_Feedstock_Collection!V33</f>
        <v>0</v>
      </c>
      <c r="H6" s="58" t="e">
        <f>G6*F6</f>
        <v>#VALUE!</v>
      </c>
      <c r="I6" s="317" t="str">
        <f>Generic_Feedstock_Collection!R20</f>
        <v/>
      </c>
      <c r="J6" s="57" t="e">
        <f>J7*I6</f>
        <v>#VALUE!</v>
      </c>
      <c r="K6" s="59" t="e">
        <f t="shared" ref="K6" si="0">H6*J6</f>
        <v>#VALUE!</v>
      </c>
      <c r="L6" s="56" t="s">
        <v>868</v>
      </c>
      <c r="M6" s="712"/>
    </row>
    <row r="7" spans="1:13">
      <c r="B7" s="61" t="s">
        <v>979</v>
      </c>
      <c r="C7" s="687"/>
      <c r="D7" s="61" t="s">
        <v>916</v>
      </c>
      <c r="E7" s="57" t="str">
        <f>Generic_Feedstock_Transport!O20</f>
        <v/>
      </c>
      <c r="F7" s="170" t="e">
        <f t="shared" ref="F7:F8" si="1">F8/E8</f>
        <v>#VALUE!</v>
      </c>
      <c r="G7" s="169">
        <f>Generic_Feedstock_Transport!V33</f>
        <v>0</v>
      </c>
      <c r="H7" s="58" t="e">
        <f t="shared" ref="H7:H8" si="2">G7*F7</f>
        <v>#VALUE!</v>
      </c>
      <c r="I7" s="317" t="str">
        <f>Generic_Feedstock_Transport!R20</f>
        <v/>
      </c>
      <c r="J7" s="57" t="e">
        <f t="shared" ref="J7:J9" si="3">J8*I7</f>
        <v>#VALUE!</v>
      </c>
      <c r="K7" s="59" t="e">
        <f t="shared" ref="K7:K9" si="4">H7*J7</f>
        <v>#VALUE!</v>
      </c>
      <c r="L7" s="56" t="s">
        <v>868</v>
      </c>
      <c r="M7" s="712"/>
    </row>
    <row r="8" spans="1:13">
      <c r="B8" s="61" t="s">
        <v>980</v>
      </c>
      <c r="C8" s="687"/>
      <c r="D8" s="61" t="s">
        <v>916</v>
      </c>
      <c r="E8" s="57" t="str">
        <f>'Generic_Pre-Processing'!O20</f>
        <v/>
      </c>
      <c r="F8" s="170" t="e">
        <f t="shared" si="1"/>
        <v>#VALUE!</v>
      </c>
      <c r="G8" s="169">
        <f>'Generic_Pre-Processing'!V36</f>
        <v>0</v>
      </c>
      <c r="H8" s="58" t="e">
        <f t="shared" si="2"/>
        <v>#VALUE!</v>
      </c>
      <c r="I8" s="317" t="str">
        <f>'Generic_Pre-Processing'!R20</f>
        <v/>
      </c>
      <c r="J8" s="57" t="e">
        <f t="shared" si="3"/>
        <v>#VALUE!</v>
      </c>
      <c r="K8" s="59" t="e">
        <f t="shared" si="4"/>
        <v>#VALUE!</v>
      </c>
      <c r="L8" s="56" t="s">
        <v>868</v>
      </c>
      <c r="M8" s="712"/>
    </row>
    <row r="9" spans="1:13">
      <c r="B9" s="61" t="s">
        <v>981</v>
      </c>
      <c r="C9" s="688"/>
      <c r="D9" s="61" t="s">
        <v>916</v>
      </c>
      <c r="E9" s="57" t="str">
        <f>Generic_Further_Transport!O20</f>
        <v/>
      </c>
      <c r="F9" s="170" t="e">
        <f>F10/E10</f>
        <v>#VALUE!</v>
      </c>
      <c r="G9" s="169">
        <f>Generic_Further_Transport!V33</f>
        <v>0</v>
      </c>
      <c r="H9" s="58" t="e">
        <f>G9*F9</f>
        <v>#VALUE!</v>
      </c>
      <c r="I9" s="317" t="str">
        <f>Generic_Further_Transport!R20</f>
        <v/>
      </c>
      <c r="J9" s="57" t="e">
        <f t="shared" si="3"/>
        <v>#VALUE!</v>
      </c>
      <c r="K9" s="59" t="e">
        <f t="shared" si="4"/>
        <v>#VALUE!</v>
      </c>
      <c r="L9" s="56" t="s">
        <v>868</v>
      </c>
      <c r="M9" s="713"/>
    </row>
    <row r="10" spans="1:13">
      <c r="B10" s="674" t="s">
        <v>982</v>
      </c>
      <c r="C10" s="61" t="s">
        <v>128</v>
      </c>
      <c r="D10" s="61" t="s">
        <v>916</v>
      </c>
      <c r="E10" s="726" t="str">
        <f>Generic_Conversion!O9</f>
        <v/>
      </c>
      <c r="F10" s="680">
        <v>1</v>
      </c>
      <c r="G10" s="60">
        <f>Generic_Conversion!V19</f>
        <v>0</v>
      </c>
      <c r="H10" s="58">
        <f>G10*$F$10</f>
        <v>0</v>
      </c>
      <c r="I10" s="720" t="str">
        <f>Generic_Conversion!R9</f>
        <v/>
      </c>
      <c r="J10" s="677" t="str">
        <f>I10</f>
        <v/>
      </c>
      <c r="K10" s="59" t="e">
        <f>H10*$J$10</f>
        <v>#VALUE!</v>
      </c>
      <c r="L10" s="56" t="s">
        <v>868</v>
      </c>
      <c r="M10" s="314" t="e">
        <f>K10</f>
        <v>#VALUE!</v>
      </c>
    </row>
    <row r="11" spans="1:13">
      <c r="B11" s="675"/>
      <c r="C11" s="61" t="s">
        <v>129</v>
      </c>
      <c r="D11" s="61" t="s">
        <v>916</v>
      </c>
      <c r="E11" s="727"/>
      <c r="F11" s="681"/>
      <c r="G11" s="60">
        <f>Generic_Conversion!V31</f>
        <v>0</v>
      </c>
      <c r="H11" s="58">
        <f t="shared" ref="H11:H17" si="5">G11*$F$10</f>
        <v>0</v>
      </c>
      <c r="I11" s="721"/>
      <c r="J11" s="678"/>
      <c r="K11" s="59" t="e">
        <f t="shared" ref="K11:K17" si="6">H11*$J$10</f>
        <v>#VALUE!</v>
      </c>
      <c r="L11" s="56" t="s">
        <v>868</v>
      </c>
      <c r="M11" s="314" t="e">
        <f t="shared" ref="M11:M17" si="7">K11</f>
        <v>#VALUE!</v>
      </c>
    </row>
    <row r="12" spans="1:13" ht="16.5">
      <c r="B12" s="675"/>
      <c r="C12" s="61" t="s">
        <v>915</v>
      </c>
      <c r="D12" s="61" t="s">
        <v>916</v>
      </c>
      <c r="E12" s="727"/>
      <c r="F12" s="681"/>
      <c r="G12" s="60">
        <f>Generic_Conversion!V43</f>
        <v>0</v>
      </c>
      <c r="H12" s="58">
        <f t="shared" si="5"/>
        <v>0</v>
      </c>
      <c r="I12" s="721"/>
      <c r="J12" s="678"/>
      <c r="K12" s="59" t="e">
        <f t="shared" si="6"/>
        <v>#VALUE!</v>
      </c>
      <c r="L12" s="56" t="s">
        <v>868</v>
      </c>
      <c r="M12" s="314" t="e">
        <f t="shared" si="7"/>
        <v>#VALUE!</v>
      </c>
    </row>
    <row r="13" spans="1:13" ht="16.5">
      <c r="B13" s="675"/>
      <c r="C13" s="61" t="s">
        <v>917</v>
      </c>
      <c r="D13" s="61" t="s">
        <v>916</v>
      </c>
      <c r="E13" s="727"/>
      <c r="F13" s="681"/>
      <c r="G13" s="60">
        <f>Generic_Conversion!V49</f>
        <v>0</v>
      </c>
      <c r="H13" s="58">
        <f t="shared" si="5"/>
        <v>0</v>
      </c>
      <c r="I13" s="721"/>
      <c r="J13" s="678"/>
      <c r="K13" s="59" t="e">
        <f t="shared" si="6"/>
        <v>#VALUE!</v>
      </c>
      <c r="L13" s="56" t="s">
        <v>868</v>
      </c>
      <c r="M13" s="314" t="e">
        <f t="shared" si="7"/>
        <v>#VALUE!</v>
      </c>
    </row>
    <row r="14" spans="1:13">
      <c r="B14" s="675"/>
      <c r="C14" s="93" t="s">
        <v>946</v>
      </c>
      <c r="D14" s="61" t="s">
        <v>916</v>
      </c>
      <c r="E14" s="727"/>
      <c r="F14" s="681"/>
      <c r="G14" s="60">
        <f>Generic_Conversion!V57</f>
        <v>0</v>
      </c>
      <c r="H14" s="58">
        <f t="shared" si="5"/>
        <v>0</v>
      </c>
      <c r="I14" s="721"/>
      <c r="J14" s="678"/>
      <c r="K14" s="59" t="e">
        <f t="shared" si="6"/>
        <v>#VALUE!</v>
      </c>
      <c r="L14" s="56" t="s">
        <v>868</v>
      </c>
      <c r="M14" s="314" t="e">
        <f t="shared" si="7"/>
        <v>#VALUE!</v>
      </c>
    </row>
    <row r="15" spans="1:13" ht="16.5">
      <c r="B15" s="675"/>
      <c r="C15" s="93" t="s">
        <v>918</v>
      </c>
      <c r="D15" s="61" t="s">
        <v>916</v>
      </c>
      <c r="E15" s="727"/>
      <c r="F15" s="681"/>
      <c r="G15" s="60">
        <f>Generic_Conversion!V67</f>
        <v>0</v>
      </c>
      <c r="H15" s="58">
        <f t="shared" si="5"/>
        <v>0</v>
      </c>
      <c r="I15" s="721"/>
      <c r="J15" s="678"/>
      <c r="K15" s="59" t="e">
        <f t="shared" si="6"/>
        <v>#VALUE!</v>
      </c>
      <c r="L15" s="56" t="s">
        <v>868</v>
      </c>
      <c r="M15" s="314" t="e">
        <f t="shared" si="7"/>
        <v>#VALUE!</v>
      </c>
    </row>
    <row r="16" spans="1:13">
      <c r="B16" s="675"/>
      <c r="C16" s="93" t="s">
        <v>947</v>
      </c>
      <c r="D16" s="61" t="s">
        <v>916</v>
      </c>
      <c r="E16" s="727"/>
      <c r="F16" s="681"/>
      <c r="G16" s="60">
        <f>Generic_Conversion!V73</f>
        <v>0</v>
      </c>
      <c r="H16" s="58">
        <f t="shared" si="5"/>
        <v>0</v>
      </c>
      <c r="I16" s="721"/>
      <c r="J16" s="678"/>
      <c r="K16" s="59" t="e">
        <f t="shared" si="6"/>
        <v>#VALUE!</v>
      </c>
      <c r="L16" s="56" t="s">
        <v>868</v>
      </c>
      <c r="M16" s="314" t="e">
        <f t="shared" si="7"/>
        <v>#VALUE!</v>
      </c>
    </row>
    <row r="17" spans="2:15" ht="16.5">
      <c r="B17" s="676"/>
      <c r="C17" s="61" t="s">
        <v>919</v>
      </c>
      <c r="D17" s="61" t="s">
        <v>916</v>
      </c>
      <c r="E17" s="728"/>
      <c r="F17" s="682"/>
      <c r="G17" s="60">
        <f>Generic_Conversion!V80</f>
        <v>0</v>
      </c>
      <c r="H17" s="58">
        <f t="shared" si="5"/>
        <v>0</v>
      </c>
      <c r="I17" s="722"/>
      <c r="J17" s="679"/>
      <c r="K17" s="59" t="e">
        <f t="shared" si="6"/>
        <v>#VALUE!</v>
      </c>
      <c r="L17" s="56" t="s">
        <v>868</v>
      </c>
      <c r="M17" s="314" t="e">
        <f t="shared" si="7"/>
        <v>#VALUE!</v>
      </c>
    </row>
    <row r="18" spans="2:15" ht="29">
      <c r="B18" s="61" t="s">
        <v>920</v>
      </c>
      <c r="C18" s="689" t="s">
        <v>921</v>
      </c>
      <c r="D18" s="545" t="s">
        <v>922</v>
      </c>
      <c r="E18" s="101"/>
      <c r="F18" s="101"/>
      <c r="G18" s="101"/>
      <c r="H18" s="101"/>
      <c r="I18" s="101"/>
      <c r="J18" s="101"/>
      <c r="K18" s="101"/>
      <c r="L18" s="539" t="str">
        <f>'Typical data'!$D$331</f>
        <v>Yet to provide pressure or electricity source</v>
      </c>
      <c r="M18" s="521" t="str">
        <f>L18</f>
        <v>Yet to provide pressure or electricity source</v>
      </c>
      <c r="O18" s="53"/>
    </row>
    <row r="19" spans="2:15" ht="29">
      <c r="B19" s="61" t="s">
        <v>924</v>
      </c>
      <c r="C19" s="690"/>
      <c r="D19" s="545" t="s">
        <v>925</v>
      </c>
      <c r="E19" s="101"/>
      <c r="F19" s="101"/>
      <c r="G19" s="101"/>
      <c r="H19" s="101"/>
      <c r="I19" s="101"/>
      <c r="J19" s="101"/>
      <c r="K19" s="101"/>
      <c r="L19" s="539" t="str">
        <f>'Typical data'!$D$349</f>
        <v>Yet to provide electricity source</v>
      </c>
      <c r="M19" s="521" t="str">
        <f>L19</f>
        <v>Yet to provide electricity source</v>
      </c>
      <c r="O19" s="53"/>
    </row>
    <row r="20" spans="2:15">
      <c r="O20" s="53"/>
    </row>
    <row r="21" spans="2:15" ht="18.5">
      <c r="B21" s="97" t="s">
        <v>926</v>
      </c>
      <c r="C21" s="98"/>
      <c r="D21" s="98"/>
      <c r="E21" s="99">
        <f>PRODUCT(E6:E19)</f>
        <v>0</v>
      </c>
      <c r="F21" s="100"/>
      <c r="G21" s="100"/>
      <c r="H21" s="100"/>
      <c r="I21" s="101"/>
      <c r="J21" s="101"/>
      <c r="K21" s="101"/>
      <c r="L21" s="101"/>
      <c r="M21" s="102" t="str">
        <f>IF(COUNTIF(M3:M19,"*")&gt;0,"Pathway not chosen",SUM(M3:M19))</f>
        <v>Pathway not chosen</v>
      </c>
      <c r="N21" s="53"/>
    </row>
    <row r="22" spans="2:15" ht="18.5">
      <c r="B22" s="97" t="s">
        <v>927</v>
      </c>
      <c r="C22" s="98"/>
      <c r="D22" s="98"/>
      <c r="E22" s="101"/>
      <c r="F22" s="101"/>
      <c r="G22" s="101"/>
      <c r="H22" s="101"/>
      <c r="I22" s="101"/>
      <c r="J22" s="101"/>
      <c r="K22" s="101"/>
      <c r="L22" s="101"/>
      <c r="M22" s="103">
        <v>20</v>
      </c>
    </row>
    <row r="24" spans="2:15" ht="18.5">
      <c r="B24" s="101"/>
      <c r="C24" s="101"/>
      <c r="D24" s="101"/>
      <c r="E24" s="101"/>
      <c r="F24" s="101"/>
      <c r="G24" s="101"/>
      <c r="H24" s="101"/>
      <c r="I24" s="101"/>
      <c r="J24" s="101"/>
      <c r="K24" s="101"/>
      <c r="L24" s="101"/>
      <c r="M24" s="101"/>
      <c r="N24" s="101"/>
    </row>
    <row r="25" spans="2:15" ht="21">
      <c r="B25" s="105"/>
      <c r="C25" s="105"/>
      <c r="D25" s="105"/>
      <c r="E25" s="105"/>
      <c r="F25" s="105"/>
      <c r="G25" s="105"/>
      <c r="H25" s="105"/>
      <c r="I25" s="105"/>
      <c r="J25" s="105"/>
      <c r="K25" s="105"/>
      <c r="L25" s="105"/>
      <c r="M25" s="105"/>
    </row>
  </sheetData>
  <customSheetViews>
    <customSheetView guid="{2D920366-22B2-4182-A65D-0EDBE614FB37}" showGridLines="0">
      <pane xSplit="3" topLeftCell="D1" activePane="topRight" state="frozen"/>
      <selection pane="topRight"/>
      <pageMargins left="0" right="0" top="0" bottom="0" header="0" footer="0"/>
      <pageSetup paperSize="9" orientation="portrait" r:id="rId1"/>
    </customSheetView>
    <customSheetView guid="{F468A2FD-7987-4A9D-8BAE-1AACE523607F}" showGridLines="0" state="hidden">
      <pane xSplit="3" topLeftCell="D1" activePane="topRight" state="frozen"/>
      <selection pane="topRight"/>
      <pageMargins left="0" right="0" top="0" bottom="0" header="0" footer="0"/>
      <pageSetup paperSize="9" orientation="portrait" verticalDpi="0" r:id="rId2"/>
    </customSheetView>
    <customSheetView guid="{D97B1299-69D0-4EE0-B673-CCF74742F96B}" state="hidden">
      <selection activeCell="D2" sqref="D2"/>
      <pageMargins left="0" right="0" top="0" bottom="0" header="0" footer="0"/>
      <pageSetup paperSize="9" orientation="portrait" r:id="rId3"/>
    </customSheetView>
    <customSheetView guid="{3F0A4FBA-5323-448F-A023-B3E14C54064C}" showGridLines="0" state="hidden" topLeftCell="A2">
      <pane xSplit="3" topLeftCell="D1" activePane="topRight" state="frozen"/>
      <selection pane="topRight" activeCell="D2" sqref="D2"/>
      <pageMargins left="0" right="0" top="0" bottom="0" header="0" footer="0"/>
      <pageSetup paperSize="9" orientation="portrait" r:id="rId4"/>
    </customSheetView>
    <customSheetView guid="{E6EFD927-84B2-4D06-BB59-59D9DF522DA2}" showGridLines="0" state="hidden">
      <pane xSplit="3" topLeftCell="D1" activePane="topRight" state="frozen"/>
      <selection pane="topRight"/>
      <pageMargins left="0" right="0" top="0" bottom="0" header="0" footer="0"/>
      <pageSetup paperSize="9" orientation="portrait" verticalDpi="0" r:id="rId5"/>
    </customSheetView>
    <customSheetView guid="{0E935136-9A80-44B6-88D5-61E64D742049}" showGridLines="0" state="hidden">
      <pane xSplit="3" topLeftCell="D1" activePane="topRight" state="frozen"/>
      <selection pane="topRight"/>
      <pageMargins left="0" right="0" top="0" bottom="0" header="0" footer="0"/>
      <pageSetup paperSize="9" orientation="portrait" verticalDpi="0" r:id="rId6"/>
    </customSheetView>
    <customSheetView guid="{1C16EB38-F785-4168-9938-104594734038}" showGridLines="0" state="hidden">
      <pane xSplit="3" topLeftCell="D1" activePane="topRight" state="frozen"/>
      <selection pane="topRight"/>
      <pageMargins left="0" right="0" top="0" bottom="0" header="0" footer="0"/>
      <pageSetup paperSize="9" orientation="portrait" verticalDpi="0" r:id="rId7"/>
    </customSheetView>
    <customSheetView guid="{EECBF9DF-6D77-4263-85DA-71E40216BADD}" showGridLines="0" state="hidden">
      <pane xSplit="3" topLeftCell="D1" activePane="topRight" state="frozen"/>
      <selection pane="topRight"/>
      <pageMargins left="0" right="0" top="0" bottom="0" header="0" footer="0"/>
      <pageSetup paperSize="9" orientation="portrait" verticalDpi="0" r:id="rId8"/>
    </customSheetView>
    <customSheetView guid="{F03309BC-D3FA-4CF2-833B-D6D9A95FE1FB}" showGridLines="0" topLeftCell="A2">
      <pane xSplit="3" topLeftCell="D1" activePane="topRight" state="frozen"/>
      <selection pane="topRight" activeCell="D2" sqref="D2"/>
      <pageMargins left="0" right="0" top="0" bottom="0" header="0" footer="0"/>
      <pageSetup paperSize="9" orientation="portrait" r:id="rId9"/>
    </customSheetView>
  </customSheetViews>
  <mergeCells count="8">
    <mergeCell ref="M4:M9"/>
    <mergeCell ref="J10:J17"/>
    <mergeCell ref="C4:C9"/>
    <mergeCell ref="C18:C19"/>
    <mergeCell ref="B10:B17"/>
    <mergeCell ref="E10:E17"/>
    <mergeCell ref="F10:F17"/>
    <mergeCell ref="I10:I17"/>
  </mergeCells>
  <pageMargins left="0" right="0" top="0" bottom="0" header="0" footer="0"/>
  <pageSetup paperSize="9" orientation="portrait" r:id="rId10"/>
  <ignoredErrors>
    <ignoredError sqref="F17:L17 G4 F5:H5 L4:L5 F20:M20 F18:K19 F6:L9 F10:L10 F11:L13 F15:G15 I15:J15 F21:L21" evalError="1"/>
  </ignoredErrors>
  <extLst>
    <ext xmlns:x14="http://schemas.microsoft.com/office/spreadsheetml/2009/9/main" uri="{78C0D931-6437-407d-A8EE-F0AAD7539E65}">
      <x14:conditionalFormattings>
        <x14:conditionalFormatting xmlns:xm="http://schemas.microsoft.com/office/excel/2006/main">
          <x14:cfRule type="expression" priority="6" id="{652FF980-D4C4-4C06-AEC9-5F9C87C45B14}">
            <xm:f>AND(Path&lt;&gt;Units!$B$139,Master_Switch="On")</xm:f>
            <x14:dxf>
              <font>
                <color theme="0"/>
              </font>
              <fill>
                <patternFill>
                  <bgColor theme="0"/>
                </patternFill>
              </fill>
              <border>
                <left/>
                <right/>
                <top/>
                <bottom/>
                <vertical/>
                <horizontal/>
              </border>
            </x14:dxf>
          </x14:cfRule>
          <xm:sqref>A2:XFD12 A13:L13 M13:XFD16 A14:B16 D14:L16 A17:XFD102</xm:sqref>
        </x14:conditionalFormatting>
        <x14:conditionalFormatting xmlns:xm="http://schemas.microsoft.com/office/excel/2006/main">
          <x14:cfRule type="expression" priority="1" id="{7B7BEF3A-852E-4FFC-A8D8-5F3600689D57}">
            <xm:f>AND(Path&lt;&gt;Units!$B$129,Master_Switch="On")</xm:f>
            <x14:dxf>
              <font>
                <color theme="0"/>
              </font>
              <fill>
                <patternFill>
                  <bgColor theme="0"/>
                </patternFill>
              </fill>
              <border>
                <left/>
                <right/>
                <top/>
                <bottom/>
              </border>
            </x14:dxf>
          </x14:cfRule>
          <xm:sqref>C14:C16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0B8AC-67A7-4D9D-AAE4-268DFA1F1815}">
  <sheetPr codeName="Sheet19">
    <tabColor theme="8"/>
  </sheetPr>
  <dimension ref="A1:AC277"/>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457"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20.54296875" customWidth="1"/>
    <col min="16" max="16" width="8.81640625" style="12" customWidth="1"/>
    <col min="17" max="17" width="18.81640625" style="12" customWidth="1"/>
    <col min="18" max="18" width="17.54296875" style="12" customWidth="1"/>
    <col min="19" max="20" width="20.7265625" style="13" customWidth="1"/>
    <col min="21" max="21" width="22.7265625" style="13" customWidth="1"/>
    <col min="22" max="22" width="20.26953125" style="39" customWidth="1"/>
    <col min="23" max="23" width="7.1796875" style="12" customWidth="1"/>
    <col min="24" max="24" width="26" style="12" customWidth="1"/>
    <col min="26" max="16384" width="7.1796875" style="12"/>
  </cols>
  <sheetData>
    <row r="1" spans="1:28" ht="31.9" customHeight="1">
      <c r="A1" s="80" t="str">
        <f>IF(AND(Path&lt;&gt;Units!$B$120, Path&lt;&gt;Units!$B$121, Path&lt;&gt;Units!$B$122, Path&lt;&gt;Units!$B$123,Path&lt;&gt;Units!$B$124,Path&lt;&gt;Units!$B$125,Master_Switch="On"),"User should not fill in this sheet, but switch to other non-blank GHG worksheets","")</f>
        <v>User should not fill in this sheet, but switch to other non-blank GHG worksheets</v>
      </c>
      <c r="E1" s="256"/>
    </row>
    <row r="2" spans="1:28" ht="20.5" customHeight="1">
      <c r="E2" s="256"/>
      <c r="I2" s="729" t="s">
        <v>983</v>
      </c>
      <c r="J2" s="729"/>
      <c r="K2" s="730"/>
      <c r="L2" s="39"/>
      <c r="M2" s="39"/>
    </row>
    <row r="3" spans="1:28" ht="15" customHeight="1">
      <c r="E3" s="256"/>
    </row>
    <row r="4" spans="1:28" ht="15.65" customHeight="1" thickBot="1">
      <c r="B4" s="3"/>
      <c r="C4" s="3"/>
      <c r="D4" s="3"/>
      <c r="E4" s="455"/>
      <c r="F4" s="3"/>
      <c r="G4" s="3"/>
      <c r="H4" s="1"/>
      <c r="I4" s="1"/>
      <c r="J4" s="1"/>
      <c r="K4" s="1"/>
      <c r="L4" s="1"/>
      <c r="M4" s="1"/>
      <c r="N4" s="37"/>
      <c r="O4" s="1"/>
      <c r="P4" s="1"/>
      <c r="Q4" s="1"/>
      <c r="R4" s="3"/>
      <c r="S4" s="1"/>
      <c r="T4" s="1"/>
      <c r="U4" s="1"/>
      <c r="V4" s="37"/>
      <c r="W4" s="37"/>
      <c r="X4" s="37"/>
    </row>
    <row r="5" spans="1:28" s="19" customFormat="1" ht="94.15" customHeight="1" thickTop="1" thickBot="1">
      <c r="B5" s="11" t="s">
        <v>984</v>
      </c>
      <c r="C5" s="11" t="s">
        <v>985</v>
      </c>
      <c r="D5" s="11" t="s">
        <v>36</v>
      </c>
      <c r="E5" s="456" t="s">
        <v>771</v>
      </c>
      <c r="F5" s="11" t="s">
        <v>986</v>
      </c>
      <c r="G5" s="11" t="s">
        <v>987</v>
      </c>
      <c r="H5" s="11" t="s">
        <v>988</v>
      </c>
      <c r="I5" s="11" t="s">
        <v>989</v>
      </c>
      <c r="J5" s="11" t="s">
        <v>990</v>
      </c>
      <c r="K5" s="11" t="s">
        <v>991</v>
      </c>
      <c r="L5" s="11" t="s">
        <v>992</v>
      </c>
      <c r="M5" s="11" t="s">
        <v>993</v>
      </c>
      <c r="N5" s="513" t="s">
        <v>994</v>
      </c>
      <c r="O5" s="11" t="s">
        <v>995</v>
      </c>
      <c r="P5" s="11"/>
      <c r="Q5" s="513" t="s">
        <v>996</v>
      </c>
      <c r="R5" s="11" t="s">
        <v>997</v>
      </c>
      <c r="S5" s="11" t="s">
        <v>998</v>
      </c>
      <c r="T5" s="11" t="s">
        <v>999</v>
      </c>
      <c r="U5" s="11" t="s">
        <v>1000</v>
      </c>
      <c r="V5" s="11" t="s">
        <v>1001</v>
      </c>
      <c r="W5" s="11"/>
      <c r="X5" s="11" t="s">
        <v>1002</v>
      </c>
      <c r="Y5"/>
    </row>
    <row r="6" spans="1:28" ht="15" thickTop="1">
      <c r="O6" s="12"/>
    </row>
    <row r="7" spans="1:28">
      <c r="B7" s="145" t="s">
        <v>1003</v>
      </c>
      <c r="C7" s="145"/>
      <c r="D7" s="145"/>
      <c r="E7" s="324"/>
      <c r="F7" s="145"/>
      <c r="G7" s="145"/>
      <c r="H7" s="145"/>
      <c r="I7" s="145"/>
      <c r="J7" s="145"/>
      <c r="K7" s="145"/>
      <c r="L7" s="145"/>
      <c r="M7" s="145"/>
      <c r="N7" s="301"/>
      <c r="R7"/>
      <c r="S7"/>
      <c r="T7"/>
      <c r="U7" s="18"/>
      <c r="V7" s="40"/>
      <c r="Y7" s="12"/>
    </row>
    <row r="8" spans="1:28">
      <c r="B8" s="16" t="s">
        <v>1004</v>
      </c>
      <c r="C8" s="185" t="s">
        <v>1005</v>
      </c>
      <c r="D8" s="109"/>
      <c r="E8" s="489"/>
      <c r="F8" s="110"/>
      <c r="G8" s="111"/>
      <c r="H8" s="111"/>
      <c r="I8" s="111"/>
      <c r="J8" s="489"/>
      <c r="K8" s="490"/>
      <c r="L8" s="490"/>
      <c r="M8" s="490"/>
      <c r="N8" s="514"/>
      <c r="O8" s="12"/>
      <c r="S8" s="40"/>
      <c r="T8" s="40"/>
      <c r="U8" s="40"/>
      <c r="V8" s="40"/>
      <c r="Y8" s="12"/>
    </row>
    <row r="9" spans="1:28" ht="14.5" customHeight="1">
      <c r="B9" s="16" t="s">
        <v>1006</v>
      </c>
      <c r="C9" s="15" t="s">
        <v>1007</v>
      </c>
      <c r="D9" s="15" t="s">
        <v>459</v>
      </c>
      <c r="E9" s="35">
        <f>Hydrogen_flow</f>
        <v>0</v>
      </c>
      <c r="F9" s="21"/>
      <c r="G9" s="21"/>
      <c r="H9" s="21"/>
      <c r="I9" s="21"/>
      <c r="J9" s="35">
        <v>120</v>
      </c>
      <c r="K9" s="306"/>
      <c r="L9" s="512">
        <v>0</v>
      </c>
      <c r="M9" s="306"/>
      <c r="N9" s="242">
        <f t="shared" ref="N9:N17" si="0">IF($D9="MWh/yr (LHV)",$E9,$J9*$E9*(1-$L9)/Conversion_kWh_to_MJ)</f>
        <v>0</v>
      </c>
      <c r="O9" s="244" t="str">
        <f>IFERROR(N9/SUM(N21:N38),"")</f>
        <v/>
      </c>
      <c r="Q9" s="568">
        <f>IF($D9="MWh/yr (LHV)",$E9,$E9*MAX(0, $J9*(1-$L9)-2.441*$L9)/Conversion_kWh_to_MJ)</f>
        <v>0</v>
      </c>
      <c r="R9" s="245" t="str">
        <f>IFERROR(Q9/(SUM($Q$9:$Q$13)),"")</f>
        <v/>
      </c>
      <c r="S9" s="42"/>
      <c r="T9" s="90"/>
      <c r="U9" s="90"/>
      <c r="V9"/>
      <c r="X9" s="21"/>
      <c r="Y9" s="12"/>
    </row>
    <row r="10" spans="1:28">
      <c r="B10" s="186" t="s">
        <v>1008</v>
      </c>
      <c r="C10" s="184" t="s">
        <v>1009</v>
      </c>
      <c r="D10" s="179" t="s">
        <v>479</v>
      </c>
      <c r="E10" s="306"/>
      <c r="F10" s="21"/>
      <c r="G10" s="21"/>
      <c r="H10" s="20"/>
      <c r="I10" s="20"/>
      <c r="J10" s="302"/>
      <c r="K10" s="302"/>
      <c r="L10" s="302"/>
      <c r="M10" s="302"/>
      <c r="N10" s="242">
        <f t="shared" si="0"/>
        <v>0</v>
      </c>
      <c r="O10" s="19"/>
      <c r="Q10" s="568">
        <f>IF($D10="MWh/yr (LHV)",$E10,$E10*MAX(0, $J10*(1-$L10)-2.441*$L10)/Conversion_kWh_to_MJ)</f>
        <v>0</v>
      </c>
      <c r="R10" s="245" t="str">
        <f t="shared" ref="R10:R13" si="1">IFERROR(Q10/(SUM($Q$9:$Q$13)),"")</f>
        <v/>
      </c>
      <c r="S10" s="478"/>
      <c r="T10" s="90"/>
      <c r="U10" s="90"/>
      <c r="V10"/>
      <c r="W10" s="23"/>
      <c r="X10" s="21"/>
      <c r="Y10" s="12"/>
    </row>
    <row r="11" spans="1:28" ht="13.9" customHeight="1">
      <c r="B11" s="186" t="s">
        <v>1008</v>
      </c>
      <c r="C11" s="184" t="s">
        <v>1010</v>
      </c>
      <c r="D11" s="179" t="s">
        <v>459</v>
      </c>
      <c r="E11" s="306"/>
      <c r="F11" s="21"/>
      <c r="G11" s="21"/>
      <c r="H11" s="20"/>
      <c r="I11" s="20"/>
      <c r="J11" s="302"/>
      <c r="K11" s="302"/>
      <c r="L11" s="302"/>
      <c r="M11" s="302"/>
      <c r="N11" s="242">
        <f t="shared" si="0"/>
        <v>0</v>
      </c>
      <c r="O11" s="12"/>
      <c r="P11" s="188"/>
      <c r="Q11" s="568">
        <f>IF($D11="MWh/yr (LHV)",$E11,$E11*MAX(0, $J11*(1-$L11)-2.441*$L11)/Conversion_kWh_to_MJ)</f>
        <v>0</v>
      </c>
      <c r="R11" s="245" t="str">
        <f t="shared" si="1"/>
        <v/>
      </c>
      <c r="S11" s="42"/>
      <c r="T11" s="479"/>
      <c r="U11" s="479"/>
      <c r="V11" s="81"/>
      <c r="W11" s="23"/>
      <c r="X11" s="21"/>
      <c r="Y11" s="12"/>
    </row>
    <row r="12" spans="1:28" ht="14.5" customHeight="1">
      <c r="B12" s="186" t="s">
        <v>1008</v>
      </c>
      <c r="C12" s="184" t="s">
        <v>1011</v>
      </c>
      <c r="D12" s="179" t="s">
        <v>459</v>
      </c>
      <c r="E12" s="306"/>
      <c r="F12" s="21"/>
      <c r="G12" s="21"/>
      <c r="H12" s="20"/>
      <c r="I12" s="20"/>
      <c r="J12" s="302"/>
      <c r="K12" s="302"/>
      <c r="L12" s="302"/>
      <c r="M12" s="302"/>
      <c r="N12" s="242">
        <f t="shared" si="0"/>
        <v>0</v>
      </c>
      <c r="O12" s="12"/>
      <c r="P12" s="188"/>
      <c r="Q12" s="568">
        <f>IF($D12="MWh/yr (LHV)",$E12,$E12*MAX(0, $J12*(1-$L12)-2.441*$L12)/Conversion_kWh_to_MJ)</f>
        <v>0</v>
      </c>
      <c r="R12" s="245" t="str">
        <f t="shared" si="1"/>
        <v/>
      </c>
      <c r="S12" s="40"/>
      <c r="T12" s="40"/>
      <c r="U12" s="40"/>
      <c r="V12" s="40"/>
      <c r="X12" s="21"/>
      <c r="Y12" s="12"/>
    </row>
    <row r="13" spans="1:28" ht="14.5" customHeight="1">
      <c r="B13" s="186" t="s">
        <v>1008</v>
      </c>
      <c r="C13" s="184" t="s">
        <v>1012</v>
      </c>
      <c r="D13" s="179" t="s">
        <v>459</v>
      </c>
      <c r="E13" s="306"/>
      <c r="F13" s="21"/>
      <c r="G13" s="21"/>
      <c r="H13" s="20"/>
      <c r="I13" s="20"/>
      <c r="J13" s="302"/>
      <c r="K13" s="302"/>
      <c r="L13" s="302"/>
      <c r="M13" s="302"/>
      <c r="N13" s="242">
        <f t="shared" si="0"/>
        <v>0</v>
      </c>
      <c r="O13" s="12"/>
      <c r="P13" s="188"/>
      <c r="Q13" s="568">
        <f>IF($D13="MWh/yr (LHV)",$E13,$E13*MAX(0, $J13*(1-$L13)-2.441*$L13)/Conversion_kWh_to_MJ)</f>
        <v>0</v>
      </c>
      <c r="R13" s="245" t="str">
        <f t="shared" si="1"/>
        <v/>
      </c>
      <c r="S13" s="40"/>
      <c r="T13" s="39"/>
      <c r="U13" s="39"/>
      <c r="X13" s="21"/>
      <c r="Y13" s="12"/>
    </row>
    <row r="14" spans="1:28" s="14" customFormat="1" ht="14.5" customHeight="1">
      <c r="B14" s="186" t="s">
        <v>1013</v>
      </c>
      <c r="C14" s="184" t="s">
        <v>1014</v>
      </c>
      <c r="D14" s="179" t="s">
        <v>459</v>
      </c>
      <c r="E14" s="306"/>
      <c r="F14" s="21"/>
      <c r="G14" s="21"/>
      <c r="H14" s="20"/>
      <c r="I14" s="20"/>
      <c r="J14" s="302"/>
      <c r="K14" s="302"/>
      <c r="L14" s="302"/>
      <c r="M14" s="302"/>
      <c r="N14" s="242">
        <f t="shared" si="0"/>
        <v>0</v>
      </c>
      <c r="O14" s="12"/>
      <c r="P14" s="188"/>
      <c r="Q14" s="188"/>
      <c r="R14" s="12"/>
      <c r="S14" s="107"/>
      <c r="T14" s="112"/>
      <c r="U14" s="112"/>
      <c r="W14" s="23"/>
      <c r="X14" s="21"/>
      <c r="Y14" s="23"/>
      <c r="Z14" s="42"/>
      <c r="AB14" s="12"/>
    </row>
    <row r="15" spans="1:28" s="14" customFormat="1" ht="14.5" customHeight="1">
      <c r="B15" s="186" t="s">
        <v>1013</v>
      </c>
      <c r="C15" s="184" t="s">
        <v>1015</v>
      </c>
      <c r="D15" s="179" t="s">
        <v>459</v>
      </c>
      <c r="E15" s="306"/>
      <c r="F15" s="21"/>
      <c r="G15" s="21"/>
      <c r="H15" s="20"/>
      <c r="I15" s="20"/>
      <c r="J15" s="302"/>
      <c r="K15" s="302"/>
      <c r="L15" s="302"/>
      <c r="M15" s="302"/>
      <c r="N15" s="242">
        <f t="shared" si="0"/>
        <v>0</v>
      </c>
      <c r="O15" s="12"/>
      <c r="P15"/>
      <c r="Q15"/>
      <c r="R15"/>
      <c r="S15" s="107"/>
      <c r="T15" s="90"/>
      <c r="U15" s="90"/>
      <c r="V15"/>
      <c r="W15" s="23"/>
      <c r="X15" s="21"/>
      <c r="Y15" s="23"/>
      <c r="Z15" s="42"/>
      <c r="AB15" s="12"/>
    </row>
    <row r="16" spans="1:28" s="14" customFormat="1">
      <c r="B16" s="186" t="s">
        <v>1016</v>
      </c>
      <c r="C16" s="184" t="s">
        <v>1017</v>
      </c>
      <c r="D16" s="179" t="s">
        <v>459</v>
      </c>
      <c r="E16" s="306"/>
      <c r="F16" s="21"/>
      <c r="G16" s="21"/>
      <c r="H16" s="20"/>
      <c r="I16" s="463"/>
      <c r="J16" s="302"/>
      <c r="K16" s="302"/>
      <c r="L16" s="302"/>
      <c r="M16" s="302"/>
      <c r="N16" s="242">
        <f t="shared" si="0"/>
        <v>0</v>
      </c>
      <c r="O16" s="12"/>
      <c r="P16"/>
      <c r="Q16"/>
      <c r="R16"/>
      <c r="S16" s="107"/>
      <c r="T16" s="90"/>
      <c r="U16" s="90"/>
      <c r="V16"/>
      <c r="X16" s="21"/>
    </row>
    <row r="17" spans="1:29" s="14" customFormat="1">
      <c r="B17" s="186" t="s">
        <v>1016</v>
      </c>
      <c r="C17" s="184" t="s">
        <v>1018</v>
      </c>
      <c r="D17" s="179" t="s">
        <v>459</v>
      </c>
      <c r="E17" s="306"/>
      <c r="F17" s="21"/>
      <c r="G17" s="21"/>
      <c r="H17" s="20"/>
      <c r="I17" s="463"/>
      <c r="J17" s="302"/>
      <c r="K17" s="302"/>
      <c r="L17" s="302"/>
      <c r="M17" s="302"/>
      <c r="N17" s="242">
        <f t="shared" si="0"/>
        <v>0</v>
      </c>
      <c r="O17" s="12"/>
      <c r="P17"/>
      <c r="Q17"/>
      <c r="R17"/>
      <c r="S17" s="107"/>
      <c r="T17" s="113"/>
      <c r="U17" s="113"/>
      <c r="V17" s="19"/>
      <c r="X17" s="21"/>
    </row>
    <row r="18" spans="1:29">
      <c r="B18" s="68"/>
      <c r="C18" s="69"/>
      <c r="D18" s="78"/>
      <c r="E18" s="73"/>
      <c r="F18" s="70"/>
      <c r="G18" s="79"/>
      <c r="H18" s="71"/>
      <c r="I18" s="71"/>
      <c r="J18" s="73"/>
      <c r="K18" s="73"/>
      <c r="L18" s="73"/>
      <c r="M18" s="73"/>
      <c r="N18" s="73"/>
      <c r="O18" s="12"/>
      <c r="S18" s="40"/>
      <c r="T18" s="40"/>
      <c r="U18" s="40"/>
      <c r="V18" s="12"/>
      <c r="X18" s="76"/>
      <c r="Y18" s="12"/>
    </row>
    <row r="19" spans="1:29" ht="31">
      <c r="B19" s="188" t="str">
        <f>IF(AND(GHG_ELECTROLYSIS!$D$6="Default",Master_Switch="On"),"Default data selected for the category below, move to the next category of the step","")</f>
        <v/>
      </c>
      <c r="C19" s="69"/>
      <c r="D19" s="78"/>
      <c r="E19" s="73"/>
      <c r="F19" s="70"/>
      <c r="G19" s="79"/>
      <c r="H19" s="71"/>
      <c r="I19" s="71"/>
      <c r="J19" s="73"/>
      <c r="K19" s="73"/>
      <c r="L19" s="73"/>
      <c r="M19" s="73"/>
      <c r="N19" s="73"/>
      <c r="O19" s="12"/>
      <c r="S19" s="40"/>
      <c r="T19" s="40"/>
      <c r="U19" s="40"/>
      <c r="V19" s="376" t="s">
        <v>1019</v>
      </c>
      <c r="X19" s="76"/>
      <c r="Y19" s="12"/>
    </row>
    <row r="20" spans="1:29">
      <c r="A20" s="19"/>
      <c r="B20" s="145" t="s">
        <v>1020</v>
      </c>
      <c r="C20" s="259"/>
      <c r="D20" s="259"/>
      <c r="E20" s="491"/>
      <c r="F20" s="257"/>
      <c r="G20" s="257"/>
      <c r="H20" s="151"/>
      <c r="I20" s="151"/>
      <c r="J20" s="491"/>
      <c r="K20" s="491"/>
      <c r="L20" s="491"/>
      <c r="M20" s="491"/>
      <c r="N20" s="491"/>
      <c r="O20" s="151"/>
      <c r="P20" s="152"/>
      <c r="Q20" s="152"/>
      <c r="R20" s="152"/>
      <c r="S20" s="480"/>
      <c r="T20" s="480"/>
      <c r="U20" s="480"/>
      <c r="V20" s="153">
        <f>SUM(V21:V21)</f>
        <v>0</v>
      </c>
      <c r="W20" s="19"/>
      <c r="X20" s="19"/>
      <c r="Y20" s="19"/>
      <c r="Z20" s="19"/>
      <c r="AA20" s="19"/>
      <c r="AB20" s="19"/>
      <c r="AC20" s="19"/>
    </row>
    <row r="21" spans="1:29">
      <c r="A21" s="19"/>
      <c r="B21" s="186" t="s">
        <v>1021</v>
      </c>
      <c r="C21" s="184" t="s">
        <v>1022</v>
      </c>
      <c r="D21" s="179" t="s">
        <v>479</v>
      </c>
      <c r="E21" s="35" t="str">
        <f>Initial_questions!E34</f>
        <v>Enter annual usage</v>
      </c>
      <c r="F21" s="21"/>
      <c r="G21" s="21"/>
      <c r="H21" s="21"/>
      <c r="I21" s="21"/>
      <c r="J21" s="306"/>
      <c r="K21" s="306"/>
      <c r="L21" s="306"/>
      <c r="M21" s="306"/>
      <c r="N21" s="263" t="str">
        <f>IF($D21="MWh/yr (LHV)",$E21,$J21*$E21*(1-$L21)/Conversion_kWh_to_MJ)</f>
        <v>Enter annual usage</v>
      </c>
      <c r="O21" s="19"/>
      <c r="P21" s="19"/>
      <c r="Q21" s="19"/>
      <c r="R21" s="19"/>
      <c r="S21" s="481"/>
      <c r="T21" s="300">
        <f>AVERAGE('Typical data'!D108:D110)</f>
        <v>0</v>
      </c>
      <c r="U21" s="300" t="s">
        <v>1023</v>
      </c>
      <c r="V21" s="357" t="str">
        <f>IF(E107&lt;&gt;0,IFERROR(IF(D21="tonnes/yr", $S21*$E21/($N$9*3.6*$E$107), $T21*3.6*$E21/($N$9*3.6*$E$107)), "Unfilled fields to left"),"Electricity source not used")</f>
        <v>Unfilled fields to left</v>
      </c>
      <c r="W21" s="19"/>
      <c r="X21" s="21"/>
      <c r="Y21" s="19"/>
      <c r="Z21" s="19"/>
      <c r="AA21" s="19"/>
      <c r="AB21" s="19"/>
      <c r="AC21" s="19"/>
    </row>
    <row r="22" spans="1:29">
      <c r="A22" s="19"/>
      <c r="C22" s="19"/>
      <c r="D22" s="19"/>
      <c r="E22" s="537"/>
      <c r="F22" s="17"/>
      <c r="G22" s="17"/>
      <c r="H22" s="17"/>
      <c r="I22" s="17"/>
      <c r="J22" s="140"/>
      <c r="K22" s="140"/>
      <c r="L22" s="140"/>
      <c r="M22" s="140"/>
      <c r="N22" s="113"/>
      <c r="O22" s="19"/>
      <c r="P22" s="19"/>
      <c r="Q22" s="19"/>
      <c r="R22" s="19"/>
      <c r="S22" s="113"/>
      <c r="T22" s="113"/>
      <c r="U22" s="113"/>
      <c r="V22" s="19"/>
      <c r="W22" s="19"/>
      <c r="X22" s="19"/>
      <c r="Y22" s="19"/>
      <c r="Z22" s="19"/>
      <c r="AA22" s="19"/>
      <c r="AB22" s="19"/>
      <c r="AC22" s="19"/>
    </row>
    <row r="23" spans="1:29" ht="31">
      <c r="A23" s="19"/>
      <c r="B23" s="188" t="str">
        <f>IF(AND(GHG_ELECTROLYSIS!$D$23="Default",Master_Switch="On"),"Default data selected for the category below, move to the next category of the step","")</f>
        <v/>
      </c>
      <c r="C23" s="262"/>
      <c r="D23" s="78"/>
      <c r="E23" s="482"/>
      <c r="F23" s="79"/>
      <c r="G23" s="79"/>
      <c r="H23" s="260"/>
      <c r="I23" s="260"/>
      <c r="J23" s="254"/>
      <c r="K23" s="254"/>
      <c r="L23" s="254"/>
      <c r="M23" s="254"/>
      <c r="N23" s="496"/>
      <c r="O23" s="19"/>
      <c r="P23" s="19"/>
      <c r="Q23" s="19"/>
      <c r="R23" s="19"/>
      <c r="S23" s="40"/>
      <c r="T23" s="40"/>
      <c r="U23" s="40"/>
      <c r="V23" s="376" t="s">
        <v>1024</v>
      </c>
      <c r="W23" s="19"/>
      <c r="X23" s="261"/>
      <c r="Y23" s="19"/>
      <c r="Z23" s="19"/>
      <c r="AA23" s="19"/>
      <c r="AB23" s="19"/>
      <c r="AC23" s="19"/>
    </row>
    <row r="24" spans="1:29">
      <c r="A24" s="19"/>
      <c r="B24" s="145" t="s">
        <v>1025</v>
      </c>
      <c r="C24" s="259"/>
      <c r="D24" s="259"/>
      <c r="E24" s="494"/>
      <c r="F24" s="257"/>
      <c r="G24" s="257"/>
      <c r="H24" s="151"/>
      <c r="I24" s="151"/>
      <c r="J24" s="491"/>
      <c r="K24" s="491"/>
      <c r="L24" s="491"/>
      <c r="M24" s="491"/>
      <c r="N24" s="575"/>
      <c r="O24" s="151"/>
      <c r="P24" s="152"/>
      <c r="Q24" s="152"/>
      <c r="R24" s="152"/>
      <c r="S24" s="480"/>
      <c r="T24" s="480"/>
      <c r="U24" s="480"/>
      <c r="V24" s="153">
        <f>SUM(V25:V25)</f>
        <v>0</v>
      </c>
      <c r="W24" s="19"/>
      <c r="X24" s="19"/>
      <c r="Y24" s="19"/>
      <c r="Z24" s="19"/>
      <c r="AA24" s="19"/>
      <c r="AB24" s="19"/>
      <c r="AC24" s="19"/>
    </row>
    <row r="25" spans="1:29">
      <c r="A25" s="19"/>
      <c r="B25" s="186" t="s">
        <v>1021</v>
      </c>
      <c r="C25" s="184" t="s">
        <v>1026</v>
      </c>
      <c r="D25" s="179" t="s">
        <v>479</v>
      </c>
      <c r="E25" s="35" t="str">
        <f>Initial_questions!E35</f>
        <v>Enter annual usage</v>
      </c>
      <c r="F25" s="21"/>
      <c r="G25" s="21"/>
      <c r="H25" s="21"/>
      <c r="I25" s="21"/>
      <c r="J25" s="306"/>
      <c r="K25" s="306"/>
      <c r="L25" s="306"/>
      <c r="M25" s="306"/>
      <c r="N25" s="263" t="str">
        <f>IF($D25="MWh/yr (LHV)",$E25,$J25*$E25*(1-$L25)/Conversion_kWh_to_MJ)</f>
        <v>Enter annual usage</v>
      </c>
      <c r="O25" s="19"/>
      <c r="P25" s="19"/>
      <c r="Q25" s="19"/>
      <c r="R25" s="19"/>
      <c r="S25" s="481"/>
      <c r="T25" s="300" t="e">
        <f>Initial_questions!E39*1/Conversion_kWh_to_MJ</f>
        <v>#VALUE!</v>
      </c>
      <c r="U25" s="35" t="s">
        <v>1027</v>
      </c>
      <c r="V25" s="357" t="str">
        <f>IF(E108&lt;&gt;0,IFERROR(IF(D25="tonnes/yr", $S25*$E25/($N$9*3.6*$E$108), $T25*3.6*$E25/($N$9*3.6*$E$108)), "Unfilled fields to left"),"Electricity source not used")</f>
        <v>Unfilled fields to left</v>
      </c>
      <c r="W25" s="19"/>
      <c r="X25" s="21"/>
      <c r="Y25" s="19"/>
      <c r="Z25" s="19"/>
      <c r="AA25" s="19"/>
      <c r="AB25" s="19"/>
      <c r="AC25" s="19"/>
    </row>
    <row r="26" spans="1:29">
      <c r="C26" s="69"/>
      <c r="D26" s="69"/>
      <c r="E26" s="504"/>
      <c r="F26" s="70"/>
      <c r="G26" s="70"/>
      <c r="H26" s="71"/>
      <c r="I26" s="466"/>
      <c r="J26" s="73"/>
      <c r="K26" s="73"/>
      <c r="L26" s="73"/>
      <c r="M26" s="73"/>
      <c r="N26" s="73"/>
      <c r="O26" s="12"/>
      <c r="S26" s="75"/>
      <c r="T26" s="73"/>
      <c r="U26" s="73"/>
      <c r="V26" s="12"/>
      <c r="X26" s="74"/>
      <c r="Y26" s="12"/>
    </row>
    <row r="27" spans="1:29" s="19" customFormat="1" ht="31">
      <c r="B27" s="188" t="str">
        <f>IF(AND(GHG_ELECTROLYSIS!$D$40="Default",Master_Switch="On"),"Default data selected for the category below, move to the next category of the step","")</f>
        <v/>
      </c>
      <c r="C27" s="262"/>
      <c r="D27" s="78"/>
      <c r="E27" s="482"/>
      <c r="F27" s="79"/>
      <c r="G27" s="79"/>
      <c r="H27" s="260"/>
      <c r="I27" s="260"/>
      <c r="J27" s="254"/>
      <c r="K27" s="254"/>
      <c r="L27" s="254"/>
      <c r="M27" s="254"/>
      <c r="N27" s="254"/>
      <c r="S27" s="40"/>
      <c r="T27" s="40"/>
      <c r="U27" s="40"/>
      <c r="V27" s="376" t="s">
        <v>1028</v>
      </c>
      <c r="X27" s="261"/>
    </row>
    <row r="28" spans="1:29" s="19" customFormat="1">
      <c r="B28" s="145" t="s">
        <v>1029</v>
      </c>
      <c r="C28" s="259"/>
      <c r="D28" s="259"/>
      <c r="E28" s="494"/>
      <c r="F28" s="257"/>
      <c r="G28" s="257"/>
      <c r="H28" s="151"/>
      <c r="I28" s="151"/>
      <c r="J28" s="491"/>
      <c r="K28" s="491"/>
      <c r="L28" s="491"/>
      <c r="M28" s="491"/>
      <c r="N28" s="491"/>
      <c r="O28" s="151"/>
      <c r="P28" s="152"/>
      <c r="Q28" s="152"/>
      <c r="R28" s="152"/>
      <c r="S28" s="480"/>
      <c r="T28" s="480"/>
      <c r="U28" s="480"/>
      <c r="V28" s="153">
        <f>SUM(V29:V29)</f>
        <v>0</v>
      </c>
    </row>
    <row r="29" spans="1:29" s="19" customFormat="1" ht="15" customHeight="1">
      <c r="B29" s="186" t="s">
        <v>1021</v>
      </c>
      <c r="C29" s="184" t="s">
        <v>1030</v>
      </c>
      <c r="D29" s="179" t="s">
        <v>479</v>
      </c>
      <c r="E29" s="35" t="str">
        <f>Initial_questions!E36</f>
        <v>Enter annual usage</v>
      </c>
      <c r="F29" s="21"/>
      <c r="G29" s="21"/>
      <c r="H29" s="21"/>
      <c r="I29" s="21"/>
      <c r="J29" s="306"/>
      <c r="K29" s="306"/>
      <c r="L29" s="306"/>
      <c r="M29" s="306"/>
      <c r="N29" s="263" t="str">
        <f>IF($D29="MWh/yr (LHV)",$E29,$J29*$E29*(1-$L29)/Conversion_kWh_to_MJ)</f>
        <v>Enter annual usage</v>
      </c>
      <c r="S29" s="481"/>
      <c r="T29" s="300" t="e">
        <f>INDEX(Proj_grid_intensity_kWh,MATCH(Operations_year,Proj_grid_year,0))/Conversion_kWh_to_MJ</f>
        <v>#N/A</v>
      </c>
      <c r="U29" s="300" t="s">
        <v>1023</v>
      </c>
      <c r="V29" s="357" t="str">
        <f>IF(E109&lt;&gt;0,IFERROR(IF(D29="tonnes/yr", $S29*$E29/($N$9*3.6*$E$109), $T29*3.6*$E29/($N$9*3.6*$E$109)), "Unfilled fields to left"),"Electricity source not used")</f>
        <v>Unfilled fields to left</v>
      </c>
      <c r="X29" s="21"/>
    </row>
    <row r="30" spans="1:29" s="19" customFormat="1">
      <c r="E30" s="537"/>
      <c r="F30" s="17"/>
      <c r="G30" s="17"/>
      <c r="H30" s="18"/>
      <c r="I30" s="18"/>
      <c r="J30" s="40"/>
      <c r="K30" s="40"/>
      <c r="L30" s="40"/>
      <c r="M30" s="40"/>
      <c r="N30" s="125"/>
      <c r="O30"/>
      <c r="S30" s="125"/>
      <c r="T30" s="125"/>
      <c r="U30" s="125"/>
      <c r="V30" s="125"/>
      <c r="Y30"/>
    </row>
    <row r="31" spans="1:29" s="19" customFormat="1" ht="29">
      <c r="E31" s="537"/>
      <c r="F31" s="17"/>
      <c r="G31" s="17"/>
      <c r="H31" s="18"/>
      <c r="I31" s="18"/>
      <c r="J31" s="40"/>
      <c r="K31" s="40"/>
      <c r="L31" s="40"/>
      <c r="M31" s="40"/>
      <c r="N31" s="125"/>
      <c r="O31"/>
      <c r="S31" s="125"/>
      <c r="T31" s="125"/>
      <c r="U31" s="125"/>
      <c r="V31" s="594" t="s">
        <v>1031</v>
      </c>
      <c r="Y31"/>
    </row>
    <row r="32" spans="1:29" s="19" customFormat="1">
      <c r="B32" s="145" t="s">
        <v>1032</v>
      </c>
      <c r="C32" s="259"/>
      <c r="D32" s="259"/>
      <c r="E32" s="494"/>
      <c r="F32" s="257"/>
      <c r="G32" s="257"/>
      <c r="H32" s="151"/>
      <c r="I32" s="151"/>
      <c r="J32" s="491"/>
      <c r="K32" s="491"/>
      <c r="L32" s="491"/>
      <c r="M32" s="491"/>
      <c r="N32" s="491"/>
      <c r="O32" s="151"/>
      <c r="P32" s="152"/>
      <c r="Q32" s="152"/>
      <c r="R32" s="152"/>
      <c r="S32" s="480"/>
      <c r="T32" s="480"/>
      <c r="U32" s="480"/>
      <c r="V32" s="153">
        <f>SUM(V33:V33)</f>
        <v>0</v>
      </c>
      <c r="Y32"/>
    </row>
    <row r="33" spans="1:29" s="19" customFormat="1">
      <c r="B33" s="186" t="s">
        <v>1021</v>
      </c>
      <c r="C33" s="184" t="s">
        <v>1033</v>
      </c>
      <c r="D33" s="179" t="s">
        <v>479</v>
      </c>
      <c r="E33" s="35" t="str">
        <f>Initial_questions!E37</f>
        <v>Enter annual usage</v>
      </c>
      <c r="F33" s="21"/>
      <c r="G33" s="21"/>
      <c r="H33" s="21"/>
      <c r="I33" s="21"/>
      <c r="J33" s="306"/>
      <c r="K33" s="306"/>
      <c r="L33" s="306"/>
      <c r="M33" s="306"/>
      <c r="N33" s="263" t="str">
        <f>IF($D33="MWh/yr (LHV)",$E33,$J33*$E33*(1-$L33)/Conversion_kWh_to_MJ)</f>
        <v>Enter annual usage</v>
      </c>
      <c r="S33" s="481"/>
      <c r="T33" s="300" t="e">
        <f>Initial_questions!$E$40*1/Conversion_kWh_to_MJ</f>
        <v>#VALUE!</v>
      </c>
      <c r="U33" s="35" t="s">
        <v>1027</v>
      </c>
      <c r="V33" s="357" t="str">
        <f>IF(E110&lt;&gt;0,IFERROR(IF(D33="tonnes/yr", $S33*$E33/($N$9*3.6*$E$109), $T33*3.6*$E33/($N$9*3.6*$E$109)), "Unfilled fields to left"),"Electricity source not used")</f>
        <v>Unfilled fields to left</v>
      </c>
      <c r="X33" s="21"/>
      <c r="Y33"/>
    </row>
    <row r="34" spans="1:29" s="19" customFormat="1">
      <c r="E34" s="537"/>
      <c r="F34" s="17"/>
      <c r="G34" s="17"/>
      <c r="H34" s="18"/>
      <c r="I34" s="18"/>
      <c r="J34" s="40"/>
      <c r="K34" s="40"/>
      <c r="L34" s="40"/>
      <c r="M34" s="40"/>
      <c r="N34" s="125"/>
      <c r="O34"/>
      <c r="S34" s="125"/>
      <c r="T34" s="125"/>
      <c r="U34" s="125"/>
      <c r="V34" s="125"/>
      <c r="Y34"/>
    </row>
    <row r="35" spans="1:29" s="19" customFormat="1" ht="31">
      <c r="B35" s="188" t="str">
        <f>IF(AND(GHG_ELECTROLYSIS!$D$74="Default",Master_Switch="On"),"Default data selected for the category below, move to the next category of the step","")</f>
        <v/>
      </c>
      <c r="C35" s="262"/>
      <c r="E35" s="537"/>
      <c r="F35" s="79"/>
      <c r="G35" s="79"/>
      <c r="H35" s="260"/>
      <c r="I35" s="260"/>
      <c r="J35" s="254"/>
      <c r="K35" s="254"/>
      <c r="L35" s="254"/>
      <c r="M35" s="254"/>
      <c r="N35" s="254"/>
      <c r="S35" s="40"/>
      <c r="T35" s="40"/>
      <c r="U35" s="40"/>
      <c r="V35" s="376" t="s">
        <v>1034</v>
      </c>
      <c r="X35" s="261"/>
    </row>
    <row r="36" spans="1:29" s="19" customFormat="1">
      <c r="B36" s="145" t="s">
        <v>1035</v>
      </c>
      <c r="C36" s="259"/>
      <c r="D36" s="259"/>
      <c r="E36" s="494"/>
      <c r="F36" s="257"/>
      <c r="G36" s="257"/>
      <c r="H36" s="151"/>
      <c r="I36" s="151"/>
      <c r="J36" s="491"/>
      <c r="K36" s="491"/>
      <c r="L36" s="491"/>
      <c r="M36" s="491"/>
      <c r="N36" s="491"/>
      <c r="O36" s="151"/>
      <c r="P36" s="152"/>
      <c r="Q36" s="152"/>
      <c r="R36" s="152"/>
      <c r="S36" s="480"/>
      <c r="T36" s="480"/>
      <c r="U36" s="480"/>
      <c r="V36" s="153">
        <f>SUM(V37:V37)</f>
        <v>0</v>
      </c>
    </row>
    <row r="37" spans="1:29" s="19" customFormat="1" ht="15" customHeight="1">
      <c r="B37" s="186" t="s">
        <v>1021</v>
      </c>
      <c r="C37" s="184" t="s">
        <v>1036</v>
      </c>
      <c r="D37" s="179" t="s">
        <v>479</v>
      </c>
      <c r="E37" s="35" t="str">
        <f>Initial_questions!E38</f>
        <v>Enter annual usage</v>
      </c>
      <c r="F37" s="21"/>
      <c r="G37" s="21"/>
      <c r="H37" s="21"/>
      <c r="I37" s="21"/>
      <c r="J37" s="306"/>
      <c r="K37" s="306"/>
      <c r="L37" s="306"/>
      <c r="M37" s="306"/>
      <c r="N37" s="242" t="str">
        <f>IF($D37="MWh/yr (LHV)",$E37,$J37*$E37*(1-$L37)/Conversion_kWh_to_MJ)</f>
        <v>Enter annual usage</v>
      </c>
      <c r="S37" s="481"/>
      <c r="T37" s="300" t="e">
        <f>Initial_questions!$E$41*1/Conversion_kWh_to_MJ</f>
        <v>#VALUE!</v>
      </c>
      <c r="U37" s="300" t="s">
        <v>1027</v>
      </c>
      <c r="V37" s="357" t="str">
        <f>IF(E111&lt;&gt;0,IFERROR(IF(D37="tonnes/yr", $S37*$E37/($N$9*3.6*$E$111), $T37*3.6*$E37/($N$9*3.6*$E$111)), "Unfilled fields to left"),"Electricity source not used")</f>
        <v>Unfilled fields to left</v>
      </c>
      <c r="X37" s="21"/>
    </row>
    <row r="38" spans="1:29" s="19" customFormat="1">
      <c r="E38" s="140"/>
      <c r="F38" s="17"/>
      <c r="G38" s="17"/>
      <c r="H38" s="17"/>
      <c r="I38" s="17"/>
      <c r="J38" s="140"/>
      <c r="K38" s="140"/>
      <c r="L38" s="140"/>
      <c r="M38" s="140"/>
      <c r="N38" s="113"/>
      <c r="S38" s="113"/>
      <c r="T38" s="113"/>
      <c r="U38" s="113"/>
    </row>
    <row r="39" spans="1:29" ht="31">
      <c r="A39" s="19"/>
      <c r="B39" s="188" t="str">
        <f>IF(AND(OR(GHG_ELECTROLYSIS!$D$6="Default",GHG_ELECTROLYSIS!$D$23="Default", GHG_ELECTROLYSIS!$D$40="Default",GHG_ELECTROLYSIS!$D$74="Default"),Master_Switch="On"),"Default data selected for the category below, move to the next category of the step","")</f>
        <v/>
      </c>
      <c r="C39" s="262"/>
      <c r="D39" s="262"/>
      <c r="E39" s="496"/>
      <c r="F39" s="79"/>
      <c r="G39" s="79"/>
      <c r="H39" s="260"/>
      <c r="I39" s="467"/>
      <c r="J39" s="254"/>
      <c r="K39" s="254"/>
      <c r="L39" s="254"/>
      <c r="M39" s="254"/>
      <c r="N39" s="254"/>
      <c r="O39" s="19"/>
      <c r="P39" s="19"/>
      <c r="Q39" s="19"/>
      <c r="R39" s="19"/>
      <c r="S39" s="482"/>
      <c r="T39" s="254"/>
      <c r="U39" s="254"/>
      <c r="V39" s="362" t="s">
        <v>1037</v>
      </c>
      <c r="W39" s="19"/>
      <c r="X39" s="253"/>
      <c r="Y39" s="19"/>
      <c r="Z39" s="19"/>
      <c r="AA39" s="19"/>
      <c r="AB39" s="19"/>
      <c r="AC39" s="19"/>
    </row>
    <row r="40" spans="1:29">
      <c r="A40" s="19"/>
      <c r="B40" s="145" t="s">
        <v>1038</v>
      </c>
      <c r="C40" s="259"/>
      <c r="D40" s="259"/>
      <c r="E40" s="491"/>
      <c r="F40" s="257"/>
      <c r="G40" s="257"/>
      <c r="H40" s="151"/>
      <c r="I40" s="151"/>
      <c r="J40" s="491"/>
      <c r="K40" s="491"/>
      <c r="L40" s="491"/>
      <c r="M40" s="491"/>
      <c r="N40" s="491"/>
      <c r="O40" s="151"/>
      <c r="P40" s="152"/>
      <c r="Q40" s="152"/>
      <c r="R40" s="152"/>
      <c r="S40" s="480"/>
      <c r="T40" s="480"/>
      <c r="U40" s="480"/>
      <c r="V40" s="153">
        <f>SUM(V41:V50)</f>
        <v>0</v>
      </c>
      <c r="W40" s="19"/>
      <c r="X40" s="19"/>
      <c r="Y40" s="19"/>
      <c r="Z40" s="19"/>
      <c r="AA40" s="19"/>
      <c r="AB40" s="19"/>
      <c r="AC40" s="19"/>
    </row>
    <row r="41" spans="1:29">
      <c r="A41" s="19"/>
      <c r="B41" s="186" t="s">
        <v>1021</v>
      </c>
      <c r="C41" s="184" t="s">
        <v>1039</v>
      </c>
      <c r="D41" s="179" t="s">
        <v>479</v>
      </c>
      <c r="E41" s="306"/>
      <c r="F41" s="21"/>
      <c r="G41" s="21"/>
      <c r="H41" s="20"/>
      <c r="I41" s="463"/>
      <c r="J41" s="302"/>
      <c r="K41" s="302"/>
      <c r="L41" s="302"/>
      <c r="M41" s="302"/>
      <c r="N41" s="242">
        <f t="shared" ref="N41:N50" si="2">IF($D41="MWh/yr (LHV)",$E41,$J41*$E41*(1-$L41)/Conversion_kWh_to_MJ)</f>
        <v>0</v>
      </c>
      <c r="O41" s="256"/>
      <c r="P41" s="19"/>
      <c r="Q41" s="19"/>
      <c r="R41" s="19"/>
      <c r="S41" s="35" t="str">
        <f>IF(B41="", "", IF(D41="MWh/yr (LHV)", "Use column to right", "Enter data here"))</f>
        <v>Use column to right</v>
      </c>
      <c r="T41" s="35" t="str">
        <f>IF(B41="", "", IF(D41="MWh/yr (LHV)", "Enter data here", "Use column to left"))</f>
        <v>Enter data here</v>
      </c>
      <c r="U41" s="35" t="s">
        <v>1040</v>
      </c>
      <c r="V41" s="357" t="str">
        <f t="shared" ref="V41:V50" si="3">IFERROR(IF(D41="tonnes/yr", $S41*$E41/($N$9*3.6), $T41*3.6*$E41/($N$9*3.6)), "Unfilled fields to left")</f>
        <v>Unfilled fields to left</v>
      </c>
      <c r="W41" s="19"/>
      <c r="X41" s="25"/>
      <c r="Y41" s="19"/>
      <c r="Z41" s="19"/>
      <c r="AA41" s="19"/>
      <c r="AB41" s="19"/>
      <c r="AC41" s="19"/>
    </row>
    <row r="42" spans="1:29">
      <c r="A42" s="19"/>
      <c r="B42" s="186" t="s">
        <v>1021</v>
      </c>
      <c r="C42" s="184" t="s">
        <v>1041</v>
      </c>
      <c r="D42" s="179" t="s">
        <v>479</v>
      </c>
      <c r="E42" s="306"/>
      <c r="F42" s="468"/>
      <c r="G42" s="21"/>
      <c r="H42" s="20"/>
      <c r="I42" s="463"/>
      <c r="J42" s="302"/>
      <c r="K42" s="302"/>
      <c r="L42" s="302"/>
      <c r="M42" s="302"/>
      <c r="N42" s="242">
        <f t="shared" si="2"/>
        <v>0</v>
      </c>
      <c r="O42" s="19"/>
      <c r="P42" s="19"/>
      <c r="Q42" s="19"/>
      <c r="R42" s="19"/>
      <c r="S42" s="35" t="str">
        <f t="shared" ref="S42:S46" si="4">IF(B42="", "", IF(D42="MWh/yr (LHV)", "Use column to right", "Enter data here"))</f>
        <v>Use column to right</v>
      </c>
      <c r="T42" s="35" t="str">
        <f t="shared" ref="T42:T46" si="5">IF(B42="", "", IF(D42="MWh/yr (LHV)", "Enter data here", "Use column to left"))</f>
        <v>Enter data here</v>
      </c>
      <c r="U42" s="35" t="s">
        <v>1040</v>
      </c>
      <c r="V42" s="357" t="str">
        <f t="shared" si="3"/>
        <v>Unfilled fields to left</v>
      </c>
      <c r="W42" s="19"/>
      <c r="X42" s="25"/>
      <c r="Y42" s="19"/>
      <c r="Z42" s="19"/>
      <c r="AA42" s="19"/>
      <c r="AB42" s="19"/>
      <c r="AC42" s="19"/>
    </row>
    <row r="43" spans="1:29">
      <c r="A43" s="19"/>
      <c r="B43" s="186" t="s">
        <v>1042</v>
      </c>
      <c r="C43" s="184" t="s">
        <v>1043</v>
      </c>
      <c r="D43" s="179" t="s">
        <v>459</v>
      </c>
      <c r="E43" s="306"/>
      <c r="F43" s="21"/>
      <c r="G43" s="21"/>
      <c r="H43" s="20"/>
      <c r="I43" s="463"/>
      <c r="J43" s="302"/>
      <c r="K43" s="302"/>
      <c r="L43" s="302"/>
      <c r="M43" s="302"/>
      <c r="N43" s="242">
        <f t="shared" si="2"/>
        <v>0</v>
      </c>
      <c r="O43" s="19"/>
      <c r="P43" s="19"/>
      <c r="Q43" s="19"/>
      <c r="R43" s="19"/>
      <c r="S43" s="35" t="str">
        <f t="shared" si="4"/>
        <v>Enter data here</v>
      </c>
      <c r="T43" s="35" t="str">
        <f t="shared" si="5"/>
        <v>Use column to left</v>
      </c>
      <c r="U43" s="35" t="s">
        <v>1044</v>
      </c>
      <c r="V43" s="357" t="str">
        <f t="shared" si="3"/>
        <v>Unfilled fields to left</v>
      </c>
      <c r="W43" s="19"/>
      <c r="X43" s="25"/>
      <c r="Y43" s="19"/>
      <c r="Z43" s="19"/>
      <c r="AA43" s="19"/>
      <c r="AB43" s="19"/>
      <c r="AC43" s="19"/>
    </row>
    <row r="44" spans="1:29">
      <c r="A44" s="19"/>
      <c r="B44" s="186" t="s">
        <v>1042</v>
      </c>
      <c r="C44" s="184" t="s">
        <v>1045</v>
      </c>
      <c r="D44" s="179" t="s">
        <v>459</v>
      </c>
      <c r="E44" s="306"/>
      <c r="F44" s="21"/>
      <c r="G44" s="21"/>
      <c r="H44" s="21"/>
      <c r="I44" s="21"/>
      <c r="J44" s="306"/>
      <c r="K44" s="306"/>
      <c r="L44" s="306"/>
      <c r="M44" s="306"/>
      <c r="N44" s="242">
        <f t="shared" si="2"/>
        <v>0</v>
      </c>
      <c r="O44" s="19"/>
      <c r="P44" s="19"/>
      <c r="Q44" s="19"/>
      <c r="R44" s="19"/>
      <c r="S44" s="35" t="str">
        <f t="shared" si="4"/>
        <v>Enter data here</v>
      </c>
      <c r="T44" s="35" t="str">
        <f t="shared" si="5"/>
        <v>Use column to left</v>
      </c>
      <c r="U44" s="35" t="s">
        <v>1044</v>
      </c>
      <c r="V44" s="357" t="str">
        <f t="shared" si="3"/>
        <v>Unfilled fields to left</v>
      </c>
      <c r="W44" s="19"/>
      <c r="X44" s="21"/>
      <c r="Y44" s="19"/>
      <c r="Z44" s="19"/>
      <c r="AA44" s="19"/>
      <c r="AB44" s="19"/>
      <c r="AC44" s="19"/>
    </row>
    <row r="45" spans="1:29">
      <c r="A45" s="19"/>
      <c r="B45" s="186" t="s">
        <v>1042</v>
      </c>
      <c r="C45" s="184" t="s">
        <v>1046</v>
      </c>
      <c r="D45" s="179" t="s">
        <v>459</v>
      </c>
      <c r="E45" s="306"/>
      <c r="F45" s="21"/>
      <c r="G45" s="21"/>
      <c r="H45" s="21"/>
      <c r="I45" s="21"/>
      <c r="J45" s="306"/>
      <c r="K45" s="306"/>
      <c r="L45" s="306"/>
      <c r="M45" s="306"/>
      <c r="N45" s="242">
        <f t="shared" si="2"/>
        <v>0</v>
      </c>
      <c r="O45" s="19"/>
      <c r="P45" s="19"/>
      <c r="Q45" s="19"/>
      <c r="R45" s="19"/>
      <c r="S45" s="35" t="str">
        <f t="shared" si="4"/>
        <v>Enter data here</v>
      </c>
      <c r="T45" s="35" t="str">
        <f t="shared" si="5"/>
        <v>Use column to left</v>
      </c>
      <c r="U45" s="35" t="s">
        <v>1044</v>
      </c>
      <c r="V45" s="357" t="str">
        <f t="shared" si="3"/>
        <v>Unfilled fields to left</v>
      </c>
      <c r="W45" s="19"/>
      <c r="X45" s="21"/>
      <c r="Y45" s="19"/>
      <c r="Z45" s="19"/>
      <c r="AA45" s="19"/>
      <c r="AB45" s="19"/>
      <c r="AC45" s="19"/>
    </row>
    <row r="46" spans="1:29">
      <c r="A46" s="19"/>
      <c r="B46" s="186"/>
      <c r="C46" s="184"/>
      <c r="D46" s="179"/>
      <c r="E46" s="306"/>
      <c r="F46" s="21"/>
      <c r="G46" s="21"/>
      <c r="H46" s="21"/>
      <c r="I46" s="21"/>
      <c r="J46" s="306"/>
      <c r="K46" s="306"/>
      <c r="L46" s="306"/>
      <c r="M46" s="306"/>
      <c r="N46" s="242">
        <f t="shared" si="2"/>
        <v>0</v>
      </c>
      <c r="O46" s="19"/>
      <c r="P46" s="19"/>
      <c r="Q46" s="19"/>
      <c r="R46" s="19"/>
      <c r="S46" s="35" t="str">
        <f t="shared" si="4"/>
        <v/>
      </c>
      <c r="T46" s="35" t="str">
        <f t="shared" si="5"/>
        <v/>
      </c>
      <c r="U46" s="35"/>
      <c r="V46" s="357" t="str">
        <f t="shared" si="3"/>
        <v>Unfilled fields to left</v>
      </c>
      <c r="W46" s="19"/>
      <c r="X46" s="21"/>
      <c r="Y46" s="19"/>
      <c r="Z46" s="19"/>
      <c r="AA46" s="19"/>
      <c r="AB46" s="19"/>
      <c r="AC46" s="19"/>
    </row>
    <row r="47" spans="1:29">
      <c r="A47" s="19"/>
      <c r="B47" s="186"/>
      <c r="C47" s="184"/>
      <c r="D47" s="179"/>
      <c r="E47" s="306"/>
      <c r="F47" s="21"/>
      <c r="G47" s="21"/>
      <c r="H47" s="21"/>
      <c r="I47" s="21"/>
      <c r="J47" s="306"/>
      <c r="K47" s="306"/>
      <c r="L47" s="306"/>
      <c r="M47" s="306"/>
      <c r="N47" s="242">
        <f t="shared" si="2"/>
        <v>0</v>
      </c>
      <c r="O47" s="19"/>
      <c r="P47" s="19"/>
      <c r="Q47" s="19"/>
      <c r="R47" s="19"/>
      <c r="S47" s="35" t="str">
        <f t="shared" ref="S47:S50" si="6">IF(B47="", "", IF(D47="MWh/yr (LHV)", "Use column to right", "Enter data here"))</f>
        <v/>
      </c>
      <c r="T47" s="35" t="str">
        <f t="shared" ref="T47:T50" si="7">IF(B47="", "", IF(D47="MWh/yr (LHV)", "Enter data here", "Use column to left"))</f>
        <v/>
      </c>
      <c r="U47" s="302"/>
      <c r="V47" s="357" t="str">
        <f t="shared" si="3"/>
        <v>Unfilled fields to left</v>
      </c>
      <c r="W47" s="19"/>
      <c r="X47" s="21"/>
      <c r="Y47" s="19"/>
      <c r="Z47" s="19"/>
      <c r="AA47" s="19"/>
      <c r="AB47" s="19"/>
      <c r="AC47" s="19"/>
    </row>
    <row r="48" spans="1:29">
      <c r="A48" s="19"/>
      <c r="B48" s="186"/>
      <c r="C48" s="184"/>
      <c r="D48" s="179"/>
      <c r="E48" s="306"/>
      <c r="F48" s="21"/>
      <c r="G48" s="21"/>
      <c r="H48" s="21"/>
      <c r="I48" s="21"/>
      <c r="J48" s="306"/>
      <c r="K48" s="306"/>
      <c r="L48" s="306"/>
      <c r="M48" s="306"/>
      <c r="N48" s="242">
        <f t="shared" si="2"/>
        <v>0</v>
      </c>
      <c r="O48" s="19"/>
      <c r="P48" s="19"/>
      <c r="Q48" s="19"/>
      <c r="R48" s="19"/>
      <c r="S48" s="35" t="str">
        <f t="shared" si="6"/>
        <v/>
      </c>
      <c r="T48" s="35" t="str">
        <f t="shared" si="7"/>
        <v/>
      </c>
      <c r="U48" s="302"/>
      <c r="V48" s="357" t="str">
        <f t="shared" si="3"/>
        <v>Unfilled fields to left</v>
      </c>
      <c r="W48" s="19"/>
      <c r="X48" s="21"/>
      <c r="Y48" s="19"/>
      <c r="Z48" s="19"/>
      <c r="AA48" s="19"/>
      <c r="AB48" s="19"/>
      <c r="AC48" s="19"/>
    </row>
    <row r="49" spans="1:29">
      <c r="A49" s="19"/>
      <c r="B49" s="186"/>
      <c r="C49" s="184"/>
      <c r="D49" s="179"/>
      <c r="E49" s="306"/>
      <c r="F49" s="21"/>
      <c r="G49" s="21"/>
      <c r="H49" s="21"/>
      <c r="I49" s="21"/>
      <c r="J49" s="306"/>
      <c r="K49" s="306"/>
      <c r="L49" s="306"/>
      <c r="M49" s="306"/>
      <c r="N49" s="242">
        <f t="shared" si="2"/>
        <v>0</v>
      </c>
      <c r="O49" s="19"/>
      <c r="P49" s="19"/>
      <c r="Q49" s="19"/>
      <c r="R49" s="19"/>
      <c r="S49" s="35" t="str">
        <f t="shared" si="6"/>
        <v/>
      </c>
      <c r="T49" s="35" t="str">
        <f t="shared" si="7"/>
        <v/>
      </c>
      <c r="U49" s="302"/>
      <c r="V49" s="357" t="str">
        <f t="shared" si="3"/>
        <v>Unfilled fields to left</v>
      </c>
      <c r="W49" s="19"/>
      <c r="X49" s="21"/>
      <c r="Y49" s="19"/>
      <c r="Z49" s="19"/>
      <c r="AA49" s="19"/>
      <c r="AB49" s="19"/>
      <c r="AC49" s="19"/>
    </row>
    <row r="50" spans="1:29">
      <c r="A50" s="19"/>
      <c r="B50" s="186"/>
      <c r="C50" s="184"/>
      <c r="D50" s="179"/>
      <c r="E50" s="306"/>
      <c r="F50" s="21"/>
      <c r="G50" s="21"/>
      <c r="H50" s="21"/>
      <c r="I50" s="21"/>
      <c r="J50" s="306"/>
      <c r="K50" s="306"/>
      <c r="L50" s="306"/>
      <c r="M50" s="306"/>
      <c r="N50" s="242">
        <f t="shared" si="2"/>
        <v>0</v>
      </c>
      <c r="O50" s="19"/>
      <c r="P50" s="19"/>
      <c r="Q50" s="19"/>
      <c r="R50" s="19"/>
      <c r="S50" s="35" t="str">
        <f t="shared" si="6"/>
        <v/>
      </c>
      <c r="T50" s="35" t="str">
        <f t="shared" si="7"/>
        <v/>
      </c>
      <c r="U50" s="302"/>
      <c r="V50" s="357" t="str">
        <f t="shared" si="3"/>
        <v>Unfilled fields to left</v>
      </c>
      <c r="W50" s="19"/>
      <c r="X50" s="21"/>
      <c r="Y50" s="19"/>
      <c r="Z50" s="19"/>
      <c r="AA50" s="19"/>
      <c r="AB50" s="19"/>
      <c r="AC50" s="19"/>
    </row>
    <row r="51" spans="1:29">
      <c r="A51" s="19"/>
      <c r="C51" s="19"/>
      <c r="D51" s="19"/>
      <c r="E51" s="140"/>
      <c r="F51" s="17"/>
      <c r="G51" s="17"/>
      <c r="H51" s="17"/>
      <c r="I51" s="17"/>
      <c r="J51" s="140"/>
      <c r="K51" s="140"/>
      <c r="L51" s="140"/>
      <c r="M51" s="140"/>
      <c r="N51" s="113"/>
      <c r="O51" s="19"/>
      <c r="P51" s="19"/>
      <c r="Q51" s="19"/>
      <c r="R51" s="19"/>
      <c r="S51" s="140"/>
      <c r="T51" s="140"/>
      <c r="U51" s="140"/>
      <c r="V51" s="19"/>
      <c r="W51" s="19"/>
      <c r="X51" s="19"/>
      <c r="Y51" s="19"/>
      <c r="Z51" s="19"/>
      <c r="AA51" s="19"/>
      <c r="AB51" s="19"/>
      <c r="AC51" s="19"/>
    </row>
    <row r="52" spans="1:29" ht="31">
      <c r="B52" s="417" t="str">
        <f>IF(AND(OR(GHG_ELECTROLYSIS!$D$7="Default",GHG_ELECTROLYSIS!$D$24="Default",GHG_ELECTROLYSIS!$D$41="Default",GHG_ELECTROLYSIS!$D$75="Default"),Master_Switch="On"),"Default data selected for the category below, move to the next category of the step","")</f>
        <v/>
      </c>
      <c r="C52" s="69"/>
      <c r="D52" s="69"/>
      <c r="E52" s="142"/>
      <c r="F52" s="70"/>
      <c r="G52" s="70"/>
      <c r="H52" s="71"/>
      <c r="I52" s="466"/>
      <c r="J52" s="73"/>
      <c r="K52" s="73"/>
      <c r="L52" s="73"/>
      <c r="M52" s="73"/>
      <c r="N52" s="73"/>
      <c r="O52" s="12"/>
      <c r="S52" s="73"/>
      <c r="T52" s="73"/>
      <c r="U52" s="73"/>
      <c r="V52" s="474" t="s">
        <v>1037</v>
      </c>
      <c r="X52" s="74"/>
      <c r="Y52" s="12"/>
    </row>
    <row r="53" spans="1:29" ht="16.5">
      <c r="B53" s="145" t="s">
        <v>1047</v>
      </c>
      <c r="C53" s="154"/>
      <c r="D53" s="154"/>
      <c r="E53" s="497"/>
      <c r="F53" s="155"/>
      <c r="G53" s="155"/>
      <c r="H53" s="156"/>
      <c r="I53" s="469"/>
      <c r="J53" s="476"/>
      <c r="K53" s="476"/>
      <c r="L53" s="476"/>
      <c r="M53" s="476"/>
      <c r="N53" s="476"/>
      <c r="O53" s="158"/>
      <c r="P53" s="158"/>
      <c r="Q53" s="158"/>
      <c r="R53" s="158"/>
      <c r="S53" s="476"/>
      <c r="T53" s="476"/>
      <c r="U53" s="476"/>
      <c r="V53" s="153">
        <f>SUM(V54:V63)</f>
        <v>0</v>
      </c>
      <c r="X53" s="74"/>
      <c r="Y53" s="12"/>
    </row>
    <row r="54" spans="1:29">
      <c r="B54" s="186" t="s">
        <v>1048</v>
      </c>
      <c r="C54" s="184" t="s">
        <v>1049</v>
      </c>
      <c r="D54" s="179" t="s">
        <v>459</v>
      </c>
      <c r="E54" s="306"/>
      <c r="F54" s="21"/>
      <c r="G54" s="21"/>
      <c r="H54" s="21"/>
      <c r="I54" s="21"/>
      <c r="J54" s="306"/>
      <c r="K54" s="306"/>
      <c r="L54" s="306"/>
      <c r="M54" s="306"/>
      <c r="N54" s="242">
        <f t="shared" ref="N54:N63" si="8">IF($D54="MWh/yr (LHV)",$E54,$J54*$E54*(1-$L54)/Conversion_kWh_to_MJ)</f>
        <v>0</v>
      </c>
      <c r="O54" s="12"/>
      <c r="S54" s="35" t="str">
        <f t="shared" ref="S54:S63" si="9">IF(B54="", "", IF(D54="MWh/yr (LHV)", "Use column to right", "Enter data here"))</f>
        <v>Enter data here</v>
      </c>
      <c r="T54" s="35" t="str">
        <f t="shared" ref="T54:T63" si="10">IF(B54="", "", IF(D54="MWh/yr (LHV)", "Enter data here", "Use column to left"))</f>
        <v>Use column to left</v>
      </c>
      <c r="U54" s="35" t="s">
        <v>1050</v>
      </c>
      <c r="V54" s="242" t="str">
        <f t="shared" ref="V54:V63" si="11">IFERROR(IF(D54="tonnes/yr", $S54*$E54/($N$9*3.6), $T54*3.6*$E54/($N$9*3.6)), "Unfilled fields to left")</f>
        <v>Unfilled fields to left</v>
      </c>
      <c r="X54" s="21"/>
      <c r="Y54" s="12"/>
    </row>
    <row r="55" spans="1:29">
      <c r="B55" s="186" t="s">
        <v>1051</v>
      </c>
      <c r="C55" s="184" t="s">
        <v>1052</v>
      </c>
      <c r="D55" s="179" t="s">
        <v>459</v>
      </c>
      <c r="E55" s="306"/>
      <c r="F55" s="21"/>
      <c r="G55" s="21"/>
      <c r="H55" s="20"/>
      <c r="I55" s="463"/>
      <c r="J55" s="302"/>
      <c r="K55" s="302"/>
      <c r="L55" s="302"/>
      <c r="M55" s="302"/>
      <c r="N55" s="242">
        <f t="shared" si="8"/>
        <v>0</v>
      </c>
      <c r="O55" s="12"/>
      <c r="S55" s="35" t="str">
        <f t="shared" si="9"/>
        <v>Enter data here</v>
      </c>
      <c r="T55" s="35" t="str">
        <f t="shared" si="10"/>
        <v>Use column to left</v>
      </c>
      <c r="U55" s="35" t="s">
        <v>1050</v>
      </c>
      <c r="V55" s="242" t="str">
        <f t="shared" si="11"/>
        <v>Unfilled fields to left</v>
      </c>
      <c r="X55" s="25"/>
      <c r="Y55" s="12"/>
    </row>
    <row r="56" spans="1:29">
      <c r="B56" s="186" t="s">
        <v>1051</v>
      </c>
      <c r="C56" s="184" t="s">
        <v>1053</v>
      </c>
      <c r="D56" s="179" t="s">
        <v>459</v>
      </c>
      <c r="E56" s="306"/>
      <c r="F56" s="21"/>
      <c r="G56" s="21"/>
      <c r="H56" s="20"/>
      <c r="I56" s="463"/>
      <c r="J56" s="302"/>
      <c r="K56" s="302"/>
      <c r="L56" s="302"/>
      <c r="M56" s="302"/>
      <c r="N56" s="242">
        <f t="shared" si="8"/>
        <v>0</v>
      </c>
      <c r="O56" s="12"/>
      <c r="S56" s="35" t="str">
        <f t="shared" si="9"/>
        <v>Enter data here</v>
      </c>
      <c r="T56" s="35" t="str">
        <f t="shared" si="10"/>
        <v>Use column to left</v>
      </c>
      <c r="U56" s="35" t="s">
        <v>1050</v>
      </c>
      <c r="V56" s="242" t="str">
        <f t="shared" si="11"/>
        <v>Unfilled fields to left</v>
      </c>
      <c r="X56" s="25"/>
      <c r="Y56" s="12"/>
    </row>
    <row r="57" spans="1:29">
      <c r="B57" s="186" t="s">
        <v>1051</v>
      </c>
      <c r="C57" s="184"/>
      <c r="D57" s="179"/>
      <c r="E57" s="306"/>
      <c r="F57" s="21"/>
      <c r="G57" s="21"/>
      <c r="H57" s="20"/>
      <c r="I57" s="463"/>
      <c r="J57" s="302"/>
      <c r="K57" s="302"/>
      <c r="L57" s="302"/>
      <c r="M57" s="302"/>
      <c r="N57" s="242">
        <f t="shared" si="8"/>
        <v>0</v>
      </c>
      <c r="O57" s="12"/>
      <c r="S57" s="35" t="str">
        <f t="shared" si="9"/>
        <v>Enter data here</v>
      </c>
      <c r="T57" s="35" t="str">
        <f t="shared" si="10"/>
        <v>Use column to left</v>
      </c>
      <c r="U57" s="35" t="s">
        <v>1050</v>
      </c>
      <c r="V57" s="242" t="str">
        <f t="shared" si="11"/>
        <v>Unfilled fields to left</v>
      </c>
      <c r="X57" s="25"/>
      <c r="Y57" s="12"/>
    </row>
    <row r="58" spans="1:29">
      <c r="B58" s="186" t="s">
        <v>1054</v>
      </c>
      <c r="C58" s="184" t="s">
        <v>1055</v>
      </c>
      <c r="D58" s="179" t="s">
        <v>459</v>
      </c>
      <c r="E58" s="306"/>
      <c r="F58" s="21"/>
      <c r="G58" s="21"/>
      <c r="H58" s="20"/>
      <c r="I58" s="463"/>
      <c r="J58" s="302"/>
      <c r="K58" s="302"/>
      <c r="L58" s="302"/>
      <c r="M58" s="302"/>
      <c r="N58" s="242">
        <f t="shared" si="8"/>
        <v>0</v>
      </c>
      <c r="O58" s="12"/>
      <c r="S58" s="35" t="str">
        <f t="shared" si="9"/>
        <v>Enter data here</v>
      </c>
      <c r="T58" s="35" t="str">
        <f t="shared" si="10"/>
        <v>Use column to left</v>
      </c>
      <c r="U58" s="35" t="s">
        <v>1050</v>
      </c>
      <c r="V58" s="242" t="str">
        <f t="shared" si="11"/>
        <v>Unfilled fields to left</v>
      </c>
      <c r="X58" s="25"/>
      <c r="Y58" s="12"/>
    </row>
    <row r="59" spans="1:29">
      <c r="B59" s="186" t="s">
        <v>1054</v>
      </c>
      <c r="C59" s="184"/>
      <c r="D59" s="179"/>
      <c r="E59" s="306"/>
      <c r="F59" s="21"/>
      <c r="G59" s="21"/>
      <c r="H59" s="20"/>
      <c r="I59" s="463"/>
      <c r="J59" s="302"/>
      <c r="K59" s="302"/>
      <c r="L59" s="302"/>
      <c r="M59" s="302"/>
      <c r="N59" s="242">
        <f t="shared" si="8"/>
        <v>0</v>
      </c>
      <c r="O59" s="12"/>
      <c r="S59" s="35" t="str">
        <f t="shared" si="9"/>
        <v>Enter data here</v>
      </c>
      <c r="T59" s="35" t="str">
        <f t="shared" si="10"/>
        <v>Use column to left</v>
      </c>
      <c r="U59" s="35" t="s">
        <v>1050</v>
      </c>
      <c r="V59" s="242" t="str">
        <f t="shared" si="11"/>
        <v>Unfilled fields to left</v>
      </c>
      <c r="X59" s="25"/>
      <c r="Y59" s="12"/>
    </row>
    <row r="60" spans="1:29">
      <c r="B60" s="186"/>
      <c r="C60" s="184"/>
      <c r="D60" s="179"/>
      <c r="E60" s="306"/>
      <c r="F60" s="54"/>
      <c r="G60" s="21"/>
      <c r="H60" s="20"/>
      <c r="I60" s="463"/>
      <c r="J60" s="302"/>
      <c r="K60" s="302"/>
      <c r="L60" s="302"/>
      <c r="M60" s="302"/>
      <c r="N60" s="242">
        <f t="shared" si="8"/>
        <v>0</v>
      </c>
      <c r="O60" s="12"/>
      <c r="S60" s="35" t="str">
        <f t="shared" si="9"/>
        <v/>
      </c>
      <c r="T60" s="35" t="str">
        <f t="shared" si="10"/>
        <v/>
      </c>
      <c r="U60" s="35"/>
      <c r="V60" s="242" t="str">
        <f t="shared" si="11"/>
        <v>Unfilled fields to left</v>
      </c>
      <c r="X60" s="25"/>
      <c r="Y60" s="12"/>
    </row>
    <row r="61" spans="1:29">
      <c r="B61" s="186"/>
      <c r="C61" s="184"/>
      <c r="D61" s="179"/>
      <c r="E61" s="306"/>
      <c r="F61" s="54"/>
      <c r="G61" s="21"/>
      <c r="H61" s="20"/>
      <c r="I61" s="463"/>
      <c r="J61" s="302"/>
      <c r="K61" s="302"/>
      <c r="L61" s="302"/>
      <c r="M61" s="302"/>
      <c r="N61" s="242">
        <f t="shared" si="8"/>
        <v>0</v>
      </c>
      <c r="O61" s="12"/>
      <c r="S61" s="35" t="str">
        <f t="shared" si="9"/>
        <v/>
      </c>
      <c r="T61" s="35" t="str">
        <f t="shared" si="10"/>
        <v/>
      </c>
      <c r="U61" s="35"/>
      <c r="V61" s="242" t="str">
        <f t="shared" si="11"/>
        <v>Unfilled fields to left</v>
      </c>
      <c r="X61" s="25"/>
      <c r="Y61" s="12"/>
    </row>
    <row r="62" spans="1:29">
      <c r="B62" s="186"/>
      <c r="C62" s="184"/>
      <c r="D62" s="179"/>
      <c r="E62" s="306"/>
      <c r="F62" s="54"/>
      <c r="G62" s="21"/>
      <c r="H62" s="20"/>
      <c r="I62" s="463"/>
      <c r="J62" s="302"/>
      <c r="K62" s="302"/>
      <c r="L62" s="302"/>
      <c r="M62" s="302"/>
      <c r="N62" s="242">
        <f t="shared" si="8"/>
        <v>0</v>
      </c>
      <c r="O62" s="12"/>
      <c r="S62" s="35" t="str">
        <f t="shared" si="9"/>
        <v/>
      </c>
      <c r="T62" s="35" t="str">
        <f t="shared" si="10"/>
        <v/>
      </c>
      <c r="U62" s="35"/>
      <c r="V62" s="242" t="str">
        <f t="shared" si="11"/>
        <v>Unfilled fields to left</v>
      </c>
      <c r="X62" s="25"/>
      <c r="Y62" s="12"/>
    </row>
    <row r="63" spans="1:29">
      <c r="B63" s="186"/>
      <c r="C63" s="184"/>
      <c r="D63" s="179"/>
      <c r="E63" s="306"/>
      <c r="F63" s="54"/>
      <c r="G63" s="21"/>
      <c r="H63" s="20"/>
      <c r="I63" s="463"/>
      <c r="J63" s="302"/>
      <c r="K63" s="302"/>
      <c r="L63" s="302"/>
      <c r="M63" s="302"/>
      <c r="N63" s="242">
        <f t="shared" si="8"/>
        <v>0</v>
      </c>
      <c r="O63" s="12"/>
      <c r="S63" s="35" t="str">
        <f t="shared" si="9"/>
        <v/>
      </c>
      <c r="T63" s="35" t="str">
        <f t="shared" si="10"/>
        <v/>
      </c>
      <c r="U63" s="35"/>
      <c r="V63" s="242" t="str">
        <f t="shared" si="11"/>
        <v>Unfilled fields to left</v>
      </c>
      <c r="X63" s="25"/>
      <c r="Y63" s="12"/>
    </row>
    <row r="64" spans="1:29">
      <c r="C64" s="83"/>
      <c r="D64" s="83"/>
      <c r="E64" s="498"/>
      <c r="F64" s="84"/>
      <c r="G64" s="84"/>
      <c r="H64" s="86"/>
      <c r="I64" s="86"/>
      <c r="J64" s="87"/>
      <c r="K64" s="87"/>
      <c r="L64" s="87"/>
      <c r="M64" s="87"/>
      <c r="N64" s="87"/>
      <c r="O64" s="28"/>
      <c r="P64" s="14"/>
      <c r="Q64" s="14"/>
      <c r="R64" s="14"/>
      <c r="S64" s="87"/>
      <c r="T64" s="87"/>
      <c r="U64" s="87"/>
      <c r="V64" s="87"/>
      <c r="X64" s="27"/>
      <c r="Y64" s="12"/>
    </row>
    <row r="65" spans="2:25">
      <c r="B65" s="14"/>
      <c r="C65" s="83"/>
      <c r="D65" s="83"/>
      <c r="E65" s="498"/>
      <c r="F65" s="84"/>
      <c r="G65" s="84"/>
      <c r="H65" s="86"/>
      <c r="I65" s="86"/>
      <c r="J65" s="87"/>
      <c r="K65" s="87"/>
      <c r="L65" s="87"/>
      <c r="M65" s="87"/>
      <c r="N65" s="87"/>
      <c r="O65" s="28"/>
      <c r="P65" s="14"/>
      <c r="Q65" s="14"/>
      <c r="R65" s="14"/>
      <c r="S65" s="87"/>
      <c r="T65" s="87"/>
      <c r="U65" s="87"/>
      <c r="V65" s="360" t="s">
        <v>1037</v>
      </c>
      <c r="X65" s="27"/>
      <c r="Y65" s="12"/>
    </row>
    <row r="66" spans="2:25" s="14" customFormat="1" ht="16.5">
      <c r="B66" s="145" t="s">
        <v>1056</v>
      </c>
      <c r="C66" s="159"/>
      <c r="D66" s="159"/>
      <c r="E66" s="499"/>
      <c r="F66" s="160"/>
      <c r="G66" s="160"/>
      <c r="H66" s="160"/>
      <c r="I66" s="160"/>
      <c r="J66" s="307"/>
      <c r="K66" s="307"/>
      <c r="L66" s="307"/>
      <c r="M66" s="307"/>
      <c r="N66" s="307"/>
      <c r="O66" s="162"/>
      <c r="P66" s="163"/>
      <c r="Q66" s="163"/>
      <c r="R66" s="152"/>
      <c r="S66" s="307"/>
      <c r="T66" s="307"/>
      <c r="U66" s="307"/>
      <c r="V66" s="153">
        <f>SUM(V67:V71)</f>
        <v>0</v>
      </c>
      <c r="X66" s="70"/>
    </row>
    <row r="67" spans="2:25" s="14" customFormat="1">
      <c r="B67" s="186" t="s">
        <v>1057</v>
      </c>
      <c r="C67" s="184" t="s">
        <v>1058</v>
      </c>
      <c r="D67" s="179" t="s">
        <v>459</v>
      </c>
      <c r="E67" s="306"/>
      <c r="F67" s="21"/>
      <c r="G67" s="21"/>
      <c r="H67" s="21"/>
      <c r="I67" s="21"/>
      <c r="J67" s="306"/>
      <c r="K67" s="306"/>
      <c r="L67" s="306"/>
      <c r="M67" s="306"/>
      <c r="N67" s="242">
        <f>IF($D67="MWh/yr (LHV)",$E67,$J67*$E67*(1-$L67)/Conversion_kWh_to_MJ)</f>
        <v>0</v>
      </c>
      <c r="O67" s="12"/>
      <c r="P67" s="12"/>
      <c r="Q67" s="12"/>
      <c r="R67" s="12"/>
      <c r="S67" s="300">
        <v>1000</v>
      </c>
      <c r="T67" s="477"/>
      <c r="U67" s="35" t="s">
        <v>1059</v>
      </c>
      <c r="V67" s="242" t="str">
        <f>IFERROR(IF(D67="tonnes/yr", $S67*$E67/($N$9*3.6), $T67*3.6*$E67/($N$9*3.6)), "Unfilled fields to left")</f>
        <v>Unfilled fields to left</v>
      </c>
      <c r="X67" s="21"/>
    </row>
    <row r="68" spans="2:25" s="14" customFormat="1">
      <c r="B68" s="186"/>
      <c r="C68" s="184"/>
      <c r="D68" s="179"/>
      <c r="E68" s="306"/>
      <c r="F68" s="63"/>
      <c r="G68" s="63"/>
      <c r="H68" s="63"/>
      <c r="I68" s="63"/>
      <c r="J68" s="304"/>
      <c r="K68" s="306"/>
      <c r="L68" s="306"/>
      <c r="M68" s="306"/>
      <c r="N68" s="242">
        <f>IF($D68="MWh/yr (LHV)",$E68,$J68*$E68*(1-$L68)/Conversion_kWh_to_MJ)</f>
        <v>0</v>
      </c>
      <c r="O68" s="12"/>
      <c r="P68" s="12"/>
      <c r="Q68" s="12"/>
      <c r="R68" s="12"/>
      <c r="S68" s="302"/>
      <c r="T68" s="477"/>
      <c r="U68" s="302"/>
      <c r="V68" s="242" t="str">
        <f>IFERROR(IF(D68="tonnes/yr", $S68*$E68/($N$9*3.6), $T68*3.6*$E68/($N$9*3.6)), "Unfilled fields to left")</f>
        <v>Unfilled fields to left</v>
      </c>
      <c r="X68" s="21"/>
    </row>
    <row r="69" spans="2:25" s="14" customFormat="1">
      <c r="B69" s="186"/>
      <c r="C69" s="184"/>
      <c r="D69" s="179"/>
      <c r="E69" s="306"/>
      <c r="F69" s="63"/>
      <c r="G69" s="63"/>
      <c r="H69" s="63"/>
      <c r="I69" s="63"/>
      <c r="J69" s="304"/>
      <c r="K69" s="306"/>
      <c r="L69" s="306"/>
      <c r="M69" s="306"/>
      <c r="N69" s="242">
        <f>IF($D69="MWh/yr (LHV)",$E69,$J69*$E69*(1-$L69)/Conversion_kWh_to_MJ)</f>
        <v>0</v>
      </c>
      <c r="O69" s="12"/>
      <c r="P69" s="12"/>
      <c r="Q69" s="12"/>
      <c r="R69" s="12"/>
      <c r="S69" s="302"/>
      <c r="T69" s="477"/>
      <c r="U69" s="302"/>
      <c r="V69" s="242" t="str">
        <f>IFERROR(IF(D69="tonnes/yr", $S69*$E69/($N$9*3.6), $T69*3.6*$E69/($N$9*3.6)), "Unfilled fields to left")</f>
        <v>Unfilled fields to left</v>
      </c>
      <c r="X69" s="21"/>
    </row>
    <row r="70" spans="2:25" s="14" customFormat="1">
      <c r="B70" s="186"/>
      <c r="C70" s="184"/>
      <c r="D70" s="179"/>
      <c r="E70" s="306"/>
      <c r="F70" s="63"/>
      <c r="G70" s="63"/>
      <c r="H70" s="63"/>
      <c r="I70" s="63"/>
      <c r="J70" s="304"/>
      <c r="K70" s="306"/>
      <c r="L70" s="306"/>
      <c r="M70" s="306"/>
      <c r="N70" s="242">
        <f>IF($D70="MWh/yr (LHV)",$E70,$J70*$E70*(1-$L70)/Conversion_kWh_to_MJ)</f>
        <v>0</v>
      </c>
      <c r="O70" s="12"/>
      <c r="P70" s="12"/>
      <c r="Q70" s="12"/>
      <c r="R70" s="12"/>
      <c r="S70" s="302"/>
      <c r="T70" s="477"/>
      <c r="U70" s="302"/>
      <c r="V70" s="242" t="str">
        <f>IFERROR(IF(D70="tonnes/yr", $S70*$E70/($N$9*3.6), $T70*3.6*$E70/($N$9*3.6)), "Unfilled fields to left")</f>
        <v>Unfilled fields to left</v>
      </c>
      <c r="X70" s="21"/>
    </row>
    <row r="71" spans="2:25" s="14" customFormat="1">
      <c r="B71" s="186"/>
      <c r="C71" s="184"/>
      <c r="D71" s="179"/>
      <c r="E71" s="306"/>
      <c r="F71" s="306"/>
      <c r="G71" s="306"/>
      <c r="H71" s="306"/>
      <c r="I71" s="306"/>
      <c r="J71" s="306"/>
      <c r="K71" s="306"/>
      <c r="L71" s="306"/>
      <c r="M71" s="306"/>
      <c r="N71" s="242">
        <f>IF($D71="MWh/yr (LHV)",$E71,$J71*$E71*(1-$L71)/Conversion_kWh_to_MJ)</f>
        <v>0</v>
      </c>
      <c r="O71" s="12"/>
      <c r="P71" s="12"/>
      <c r="Q71" s="12"/>
      <c r="R71" s="12"/>
      <c r="S71" s="302"/>
      <c r="T71" s="477"/>
      <c r="U71" s="302"/>
      <c r="V71" s="242" t="str">
        <f>IFERROR(IF(D71="tonnes/yr", $S71*$E71/($N$9*3.6), $T71*3.6*$E71/($N$9*3.6)), "Unfilled fields to left")</f>
        <v>Unfilled fields to left</v>
      </c>
      <c r="X71" s="21"/>
    </row>
    <row r="72" spans="2:25">
      <c r="B72" s="14"/>
      <c r="C72" s="83"/>
      <c r="D72" s="83"/>
      <c r="E72" s="498"/>
      <c r="F72" s="84"/>
      <c r="G72" s="84"/>
      <c r="H72" s="86"/>
      <c r="I72" s="86"/>
      <c r="J72" s="87"/>
      <c r="K72" s="87"/>
      <c r="L72" s="87"/>
      <c r="M72" s="87"/>
      <c r="N72" s="87"/>
      <c r="O72" s="28"/>
      <c r="P72" s="14"/>
      <c r="Q72" s="14"/>
      <c r="R72" s="14"/>
      <c r="S72" s="87"/>
      <c r="T72" s="87"/>
      <c r="U72" s="87"/>
      <c r="V72" s="87"/>
      <c r="X72" s="27"/>
      <c r="Y72" s="12"/>
    </row>
    <row r="73" spans="2:25">
      <c r="B73" s="14"/>
      <c r="C73" s="83"/>
      <c r="D73" s="83"/>
      <c r="E73" s="498"/>
      <c r="F73" s="84"/>
      <c r="G73" s="84"/>
      <c r="H73" s="86"/>
      <c r="I73" s="86"/>
      <c r="J73" s="87"/>
      <c r="K73" s="87"/>
      <c r="L73" s="87"/>
      <c r="M73" s="87"/>
      <c r="N73" s="87"/>
      <c r="O73" s="28"/>
      <c r="P73" s="14"/>
      <c r="Q73" s="14"/>
      <c r="R73" s="14"/>
      <c r="S73" s="87"/>
      <c r="T73" s="87"/>
      <c r="U73" s="87"/>
      <c r="V73" s="360" t="s">
        <v>1037</v>
      </c>
      <c r="X73" s="27"/>
      <c r="Y73" s="12"/>
    </row>
    <row r="74" spans="2:25" ht="16.5">
      <c r="B74" s="145" t="s">
        <v>1060</v>
      </c>
      <c r="C74" s="154"/>
      <c r="D74" s="154"/>
      <c r="E74" s="497"/>
      <c r="F74" s="155"/>
      <c r="G74" s="155"/>
      <c r="H74" s="156"/>
      <c r="I74" s="469"/>
      <c r="J74" s="476"/>
      <c r="K74" s="476"/>
      <c r="L74" s="476"/>
      <c r="M74" s="476"/>
      <c r="N74" s="476"/>
      <c r="O74" s="158"/>
      <c r="P74" s="158"/>
      <c r="Q74" s="158"/>
      <c r="R74" s="158"/>
      <c r="S74" s="476"/>
      <c r="T74" s="476"/>
      <c r="U74" s="476"/>
      <c r="V74" s="153">
        <f>SUM(V75:V80)</f>
        <v>0</v>
      </c>
      <c r="X74" s="74"/>
      <c r="Y74" s="12"/>
    </row>
    <row r="75" spans="2:25" s="14" customFormat="1">
      <c r="B75" s="186" t="s">
        <v>1021</v>
      </c>
      <c r="C75" s="184" t="s">
        <v>1061</v>
      </c>
      <c r="D75" s="179" t="s">
        <v>479</v>
      </c>
      <c r="E75" s="306"/>
      <c r="F75" s="21"/>
      <c r="G75" s="21"/>
      <c r="H75" s="63"/>
      <c r="I75" s="63"/>
      <c r="J75" s="304"/>
      <c r="K75" s="306"/>
      <c r="L75" s="306"/>
      <c r="M75" s="306"/>
      <c r="N75" s="242">
        <f t="shared" ref="N75:N80" si="12">IF($D75="MWh/yr (LHV)",$E75,$J75*$E75*(1-$L75)/Conversion_kWh_to_MJ)</f>
        <v>0</v>
      </c>
      <c r="O75" s="19"/>
      <c r="P75" s="19"/>
      <c r="Q75" s="19"/>
      <c r="R75" s="19"/>
      <c r="S75" s="300" t="str">
        <f>IF(B75="", "", IF(D75="MWh/yr (LHV)", "Use column to right", "Enter data here"))</f>
        <v>Use column to right</v>
      </c>
      <c r="T75" s="300" t="e">
        <f>Initial_questions!$E$43*1/Conversion_kWh_to_MJ</f>
        <v>#VALUE!</v>
      </c>
      <c r="U75" s="35" t="s">
        <v>1062</v>
      </c>
      <c r="V75" s="242" t="str">
        <f t="shared" ref="V75:V80" si="13">IFERROR(IF(D75="tonnes/yr", $S75*$E75/($N$9*3.6), $T75*3.6*$E75/($N$9*3.6)), "Unfilled fields to left")</f>
        <v>Unfilled fields to left</v>
      </c>
      <c r="X75" s="21"/>
    </row>
    <row r="76" spans="2:25" s="14" customFormat="1">
      <c r="B76" s="186" t="s">
        <v>1021</v>
      </c>
      <c r="C76" s="184" t="s">
        <v>1063</v>
      </c>
      <c r="D76" s="179" t="s">
        <v>479</v>
      </c>
      <c r="E76" s="306"/>
      <c r="F76" s="21"/>
      <c r="G76" s="21"/>
      <c r="H76" s="63"/>
      <c r="I76" s="63"/>
      <c r="J76" s="304"/>
      <c r="K76" s="306"/>
      <c r="L76" s="306"/>
      <c r="M76" s="306"/>
      <c r="N76" s="242">
        <f t="shared" si="12"/>
        <v>0</v>
      </c>
      <c r="O76" s="19"/>
      <c r="P76" s="19"/>
      <c r="Q76" s="19"/>
      <c r="R76" s="19"/>
      <c r="S76" s="300" t="str">
        <f t="shared" ref="S76:S79" si="14">IF(B76="", "", IF(D76="MWh/yr (LHV)", "Use column to right", "Enter data here"))</f>
        <v>Use column to right</v>
      </c>
      <c r="T76" s="300" t="e">
        <f>INDEX(Proj_grid_intensity_kWh,MATCH(Operations_year,Proj_grid_year,0))/Conversion_kWh_to_MJ</f>
        <v>#N/A</v>
      </c>
      <c r="U76" s="35" t="s">
        <v>1064</v>
      </c>
      <c r="V76" s="242" t="str">
        <f t="shared" si="13"/>
        <v>Unfilled fields to left</v>
      </c>
      <c r="X76" s="65"/>
    </row>
    <row r="77" spans="2:25" s="14" customFormat="1">
      <c r="B77" s="186" t="s">
        <v>1021</v>
      </c>
      <c r="C77" s="184" t="s">
        <v>1065</v>
      </c>
      <c r="D77" s="179" t="s">
        <v>459</v>
      </c>
      <c r="E77" s="306"/>
      <c r="F77" s="21"/>
      <c r="G77" s="21"/>
      <c r="H77" s="63"/>
      <c r="I77" s="63"/>
      <c r="J77" s="304"/>
      <c r="K77" s="306"/>
      <c r="L77" s="306"/>
      <c r="M77" s="306"/>
      <c r="N77" s="242">
        <f t="shared" si="12"/>
        <v>0</v>
      </c>
      <c r="O77" s="19"/>
      <c r="P77" s="19"/>
      <c r="Q77" s="19"/>
      <c r="R77" s="19"/>
      <c r="S77" s="300" t="str">
        <f t="shared" si="14"/>
        <v>Enter data here</v>
      </c>
      <c r="T77" s="300" t="str">
        <f>IF(B77="", "", IF(D77="MWh/yr (LHV)", "Enter data here", "Use column to left"))</f>
        <v>Use column to left</v>
      </c>
      <c r="U77" s="35" t="s">
        <v>1066</v>
      </c>
      <c r="V77" s="242" t="str">
        <f t="shared" si="13"/>
        <v>Unfilled fields to left</v>
      </c>
      <c r="X77" s="65"/>
    </row>
    <row r="78" spans="2:25">
      <c r="B78" s="186" t="s">
        <v>1021</v>
      </c>
      <c r="C78" s="184" t="s">
        <v>1067</v>
      </c>
      <c r="D78" s="179" t="s">
        <v>459</v>
      </c>
      <c r="E78" s="306"/>
      <c r="F78" s="54"/>
      <c r="G78" s="21"/>
      <c r="H78" s="20"/>
      <c r="I78" s="463"/>
      <c r="J78" s="302"/>
      <c r="K78" s="302"/>
      <c r="L78" s="302"/>
      <c r="M78" s="302"/>
      <c r="N78" s="242">
        <f t="shared" si="12"/>
        <v>0</v>
      </c>
      <c r="O78" s="12"/>
      <c r="S78" s="300" t="str">
        <f t="shared" si="14"/>
        <v>Enter data here</v>
      </c>
      <c r="T78" s="300" t="str">
        <f>IF(B78="", "", IF(D78="MWh/yr (LHV)", "Enter data here", "Use column to left"))</f>
        <v>Use column to left</v>
      </c>
      <c r="U78" s="35" t="s">
        <v>1066</v>
      </c>
      <c r="V78" s="242" t="str">
        <f t="shared" si="13"/>
        <v>Unfilled fields to left</v>
      </c>
      <c r="X78" s="25"/>
      <c r="Y78" s="12"/>
    </row>
    <row r="79" spans="2:25">
      <c r="B79" s="186" t="s">
        <v>1021</v>
      </c>
      <c r="C79" s="184" t="s">
        <v>1068</v>
      </c>
      <c r="D79" s="179" t="s">
        <v>479</v>
      </c>
      <c r="E79" s="306"/>
      <c r="F79" s="54"/>
      <c r="G79" s="21"/>
      <c r="H79" s="20"/>
      <c r="I79" s="463"/>
      <c r="J79" s="302"/>
      <c r="K79" s="302"/>
      <c r="L79" s="302"/>
      <c r="M79" s="302"/>
      <c r="N79" s="242">
        <f t="shared" si="12"/>
        <v>0</v>
      </c>
      <c r="O79" s="12"/>
      <c r="S79" s="300" t="str">
        <f t="shared" si="14"/>
        <v>Use column to right</v>
      </c>
      <c r="T79" s="300" t="e">
        <f>INDEX(Proj_grid_intensity_kWh,MATCH(Operations_year,Proj_grid_year,0))/Conversion_kWh_to_MJ</f>
        <v>#N/A</v>
      </c>
      <c r="U79" s="35" t="s">
        <v>1064</v>
      </c>
      <c r="V79" s="242" t="str">
        <f t="shared" si="13"/>
        <v>Unfilled fields to left</v>
      </c>
      <c r="X79" s="25"/>
      <c r="Y79" s="12"/>
    </row>
    <row r="80" spans="2:25">
      <c r="B80" s="186"/>
      <c r="C80" s="184"/>
      <c r="D80" s="179"/>
      <c r="E80" s="306"/>
      <c r="F80" s="54"/>
      <c r="G80" s="21"/>
      <c r="H80" s="20"/>
      <c r="I80" s="463"/>
      <c r="J80" s="302"/>
      <c r="K80" s="302"/>
      <c r="L80" s="302"/>
      <c r="M80" s="302"/>
      <c r="N80" s="242">
        <f t="shared" si="12"/>
        <v>0</v>
      </c>
      <c r="O80" s="12"/>
      <c r="S80" s="302"/>
      <c r="T80" s="302"/>
      <c r="U80" s="302"/>
      <c r="V80" s="242" t="str">
        <f t="shared" si="13"/>
        <v>Unfilled fields to left</v>
      </c>
      <c r="X80" s="25"/>
      <c r="Y80" s="12"/>
    </row>
    <row r="81" spans="2:24" s="14" customFormat="1">
      <c r="B81" s="68"/>
      <c r="C81" s="69"/>
      <c r="D81" s="69"/>
      <c r="E81" s="142"/>
      <c r="F81" s="70"/>
      <c r="G81" s="70"/>
      <c r="H81" s="71"/>
      <c r="I81" s="71"/>
      <c r="J81" s="73"/>
      <c r="K81" s="73"/>
      <c r="L81" s="73"/>
      <c r="M81" s="73"/>
      <c r="N81" s="73"/>
      <c r="O81" s="12"/>
      <c r="P81" s="12"/>
      <c r="Q81" s="12"/>
      <c r="R81" s="12"/>
      <c r="S81" s="73"/>
      <c r="T81" s="73"/>
      <c r="U81" s="73"/>
      <c r="V81" s="73"/>
      <c r="X81" s="70"/>
    </row>
    <row r="82" spans="2:24" s="14" customFormat="1">
      <c r="B82" s="68"/>
      <c r="C82" s="69"/>
      <c r="D82" s="69"/>
      <c r="E82" s="142"/>
      <c r="F82" s="70"/>
      <c r="G82" s="70"/>
      <c r="H82" s="71"/>
      <c r="I82" s="71"/>
      <c r="J82" s="73"/>
      <c r="K82" s="73"/>
      <c r="L82" s="73"/>
      <c r="M82" s="73"/>
      <c r="N82" s="73"/>
      <c r="O82" s="12"/>
      <c r="P82" s="12"/>
      <c r="Q82" s="12"/>
      <c r="R82" s="12"/>
      <c r="S82" s="73"/>
      <c r="T82" s="73"/>
      <c r="U82" s="73"/>
      <c r="V82" s="361" t="s">
        <v>1037</v>
      </c>
      <c r="X82" s="70"/>
    </row>
    <row r="83" spans="2:24" s="14" customFormat="1" ht="16.5">
      <c r="B83" s="145" t="s">
        <v>1069</v>
      </c>
      <c r="C83" s="159"/>
      <c r="D83" s="159"/>
      <c r="E83" s="499"/>
      <c r="F83" s="160"/>
      <c r="G83" s="160"/>
      <c r="H83" s="160"/>
      <c r="I83" s="160"/>
      <c r="J83" s="307"/>
      <c r="K83" s="307"/>
      <c r="L83" s="307"/>
      <c r="M83" s="307"/>
      <c r="N83" s="307"/>
      <c r="O83" s="162"/>
      <c r="P83" s="163"/>
      <c r="Q83" s="163"/>
      <c r="R83" s="152"/>
      <c r="S83" s="307"/>
      <c r="T83" s="307"/>
      <c r="U83" s="307"/>
      <c r="V83" s="153">
        <f>SUM(V84:V88)</f>
        <v>0</v>
      </c>
      <c r="X83" s="70"/>
    </row>
    <row r="84" spans="2:24" s="14" customFormat="1">
      <c r="B84" s="186" t="s">
        <v>1070</v>
      </c>
      <c r="C84" s="184" t="s">
        <v>1071</v>
      </c>
      <c r="D84" s="179" t="s">
        <v>459</v>
      </c>
      <c r="E84" s="35">
        <f>E67*E112*(1-E113)</f>
        <v>0</v>
      </c>
      <c r="F84" s="63"/>
      <c r="G84" s="63"/>
      <c r="H84" s="63"/>
      <c r="I84" s="63"/>
      <c r="J84" s="304"/>
      <c r="K84" s="306"/>
      <c r="L84" s="306"/>
      <c r="M84" s="306"/>
      <c r="N84" s="242">
        <f>IF($D84="MWh/yr (LHV)",$E84,$J84*$E84/Conversion_kWh_to_MJ)</f>
        <v>0</v>
      </c>
      <c r="O84" s="12"/>
      <c r="P84" s="12"/>
      <c r="Q84" s="12"/>
      <c r="R84" s="12"/>
      <c r="S84" s="300">
        <v>-1000</v>
      </c>
      <c r="T84" s="477"/>
      <c r="U84" s="35" t="s">
        <v>1059</v>
      </c>
      <c r="V84" s="242" t="str">
        <f>IFERROR(IF(D84="tonnes/yr", $S84*$E84/($N$9*3.6), $T84*3.6*$E84/($N$9*3.6)), "Unfilled fields to left")</f>
        <v>Unfilled fields to left</v>
      </c>
      <c r="X84" s="21"/>
    </row>
    <row r="85" spans="2:24" s="14" customFormat="1">
      <c r="B85" s="186"/>
      <c r="C85" s="184"/>
      <c r="D85" s="179"/>
      <c r="E85" s="306"/>
      <c r="F85" s="63"/>
      <c r="G85" s="63"/>
      <c r="H85" s="63"/>
      <c r="I85" s="63"/>
      <c r="J85" s="304"/>
      <c r="K85" s="306"/>
      <c r="L85" s="306"/>
      <c r="M85" s="306"/>
      <c r="N85" s="242">
        <f>IF($D85="MWh/yr (LHV)",$E85,$J85*$E85/Conversion_kWh_to_MJ)</f>
        <v>0</v>
      </c>
      <c r="O85" s="12"/>
      <c r="P85" s="12"/>
      <c r="Q85" s="12"/>
      <c r="R85" s="12"/>
      <c r="S85" s="302"/>
      <c r="T85" s="477"/>
      <c r="U85" s="302"/>
      <c r="V85" s="242" t="str">
        <f>IFERROR(IF(D85="tonnes/yr", $S85*$E85/($N$9*3.6), $T85*3.6*$E85/($N$9*3.6)), "Unfilled fields to left")</f>
        <v>Unfilled fields to left</v>
      </c>
      <c r="X85" s="21"/>
    </row>
    <row r="86" spans="2:24" s="14" customFormat="1">
      <c r="B86" s="186"/>
      <c r="C86" s="184"/>
      <c r="D86" s="179"/>
      <c r="E86" s="306"/>
      <c r="F86" s="63"/>
      <c r="G86" s="63"/>
      <c r="H86" s="63"/>
      <c r="I86" s="63"/>
      <c r="J86" s="304"/>
      <c r="K86" s="306"/>
      <c r="L86" s="306"/>
      <c r="M86" s="306"/>
      <c r="N86" s="242">
        <f>IF($D86="MWh/yr (LHV)",$E86,$J86*$E86/Conversion_kWh_to_MJ)</f>
        <v>0</v>
      </c>
      <c r="O86" s="12"/>
      <c r="P86" s="12"/>
      <c r="Q86" s="12"/>
      <c r="R86" s="12"/>
      <c r="S86" s="302"/>
      <c r="T86" s="477"/>
      <c r="U86" s="302"/>
      <c r="V86" s="242" t="str">
        <f>IFERROR(IF(D86="tonnes/yr", $S86*$E86/($N$9*3.6), $T86*3.6*$E86/($N$9*3.6)), "Unfilled fields to left")</f>
        <v>Unfilled fields to left</v>
      </c>
      <c r="X86" s="21"/>
    </row>
    <row r="87" spans="2:24" s="14" customFormat="1">
      <c r="B87" s="186"/>
      <c r="C87" s="184"/>
      <c r="D87" s="179"/>
      <c r="E87" s="306"/>
      <c r="F87" s="63"/>
      <c r="G87" s="63"/>
      <c r="H87" s="63"/>
      <c r="I87" s="63"/>
      <c r="J87" s="304"/>
      <c r="K87" s="306"/>
      <c r="L87" s="306"/>
      <c r="M87" s="306"/>
      <c r="N87" s="242">
        <f>IF($D87="MWh/yr (LHV)",$E87,$J87*$E87/Conversion_kWh_to_MJ)</f>
        <v>0</v>
      </c>
      <c r="O87" s="12"/>
      <c r="P87" s="12"/>
      <c r="Q87" s="12"/>
      <c r="R87" s="12"/>
      <c r="S87" s="302"/>
      <c r="T87" s="477"/>
      <c r="U87" s="302"/>
      <c r="V87" s="242" t="str">
        <f>IFERROR(IF(D87="tonnes/yr", $S87*$E87/($N$9*3.6), $T87*3.6*$E87/($N$9*3.6)), "Unfilled fields to left")</f>
        <v>Unfilled fields to left</v>
      </c>
      <c r="X87" s="21"/>
    </row>
    <row r="88" spans="2:24" s="14" customFormat="1">
      <c r="B88" s="186"/>
      <c r="C88" s="184"/>
      <c r="D88" s="179"/>
      <c r="E88" s="306"/>
      <c r="F88" s="306"/>
      <c r="G88" s="306"/>
      <c r="H88" s="306"/>
      <c r="I88" s="306"/>
      <c r="J88" s="306"/>
      <c r="K88" s="306"/>
      <c r="L88" s="306"/>
      <c r="M88" s="306"/>
      <c r="N88" s="242">
        <f>IF($D88="MWh/yr (LHV)",$E88,$J88*$E88/Conversion_kWh_to_MJ)</f>
        <v>0</v>
      </c>
      <c r="O88" s="12"/>
      <c r="P88" s="12"/>
      <c r="Q88" s="12"/>
      <c r="R88" s="12"/>
      <c r="S88" s="302"/>
      <c r="T88" s="477"/>
      <c r="U88" s="302"/>
      <c r="V88" s="242" t="str">
        <f>IFERROR(IF(D88="tonnes/yr", $S88*$E88/($N$9*3.6), $T88*3.6*$E88/($N$9*3.6)), "Unfilled fields to left")</f>
        <v>Unfilled fields to left</v>
      </c>
      <c r="X88" s="21"/>
    </row>
    <row r="89" spans="2:24" s="14" customFormat="1">
      <c r="B89" s="68"/>
      <c r="C89" s="69"/>
      <c r="D89" s="69"/>
      <c r="E89" s="142"/>
      <c r="F89" s="70"/>
      <c r="G89" s="70"/>
      <c r="H89" s="71"/>
      <c r="I89" s="71"/>
      <c r="J89" s="73"/>
      <c r="K89" s="73"/>
      <c r="L89" s="73"/>
      <c r="M89" s="73"/>
      <c r="N89" s="73"/>
      <c r="O89" s="12"/>
      <c r="P89" s="12"/>
      <c r="Q89" s="12"/>
      <c r="R89" s="12"/>
      <c r="S89" s="73"/>
      <c r="T89" s="73"/>
      <c r="U89" s="73"/>
      <c r="V89" s="73"/>
      <c r="X89" s="70"/>
    </row>
    <row r="90" spans="2:24" s="14" customFormat="1">
      <c r="B90" s="68"/>
      <c r="C90" s="69"/>
      <c r="D90" s="69"/>
      <c r="E90" s="142"/>
      <c r="F90" s="70"/>
      <c r="G90" s="70"/>
      <c r="H90" s="71"/>
      <c r="I90" s="71"/>
      <c r="J90" s="73"/>
      <c r="K90" s="73"/>
      <c r="L90" s="73"/>
      <c r="M90" s="73"/>
      <c r="N90" s="73"/>
      <c r="O90" s="12"/>
      <c r="P90" s="12"/>
      <c r="Q90" s="12"/>
      <c r="R90" s="12"/>
      <c r="S90" s="73"/>
      <c r="T90" s="73"/>
      <c r="U90" s="73"/>
      <c r="V90" s="361" t="s">
        <v>1037</v>
      </c>
      <c r="X90" s="70"/>
    </row>
    <row r="91" spans="2:24" s="14" customFormat="1" ht="16.5">
      <c r="B91" s="145" t="s">
        <v>131</v>
      </c>
      <c r="C91" s="159"/>
      <c r="D91" s="159"/>
      <c r="E91" s="499"/>
      <c r="F91" s="160"/>
      <c r="G91" s="160"/>
      <c r="H91" s="160"/>
      <c r="I91" s="160"/>
      <c r="J91" s="307"/>
      <c r="K91" s="307"/>
      <c r="L91" s="307"/>
      <c r="M91" s="307"/>
      <c r="N91" s="307"/>
      <c r="O91" s="162"/>
      <c r="P91" s="163"/>
      <c r="Q91" s="163"/>
      <c r="R91" s="152"/>
      <c r="S91" s="307"/>
      <c r="T91" s="307"/>
      <c r="U91" s="307"/>
      <c r="V91" s="153">
        <f>SUM(V92:V99)</f>
        <v>0</v>
      </c>
      <c r="X91" s="70"/>
    </row>
    <row r="92" spans="2:24" s="14" customFormat="1">
      <c r="B92" s="186" t="s">
        <v>1072</v>
      </c>
      <c r="C92" s="184" t="s">
        <v>1073</v>
      </c>
      <c r="D92" s="179" t="s">
        <v>459</v>
      </c>
      <c r="E92" s="306"/>
      <c r="F92" s="21"/>
      <c r="G92" s="21"/>
      <c r="H92" s="21"/>
      <c r="I92" s="21"/>
      <c r="J92" s="306"/>
      <c r="K92" s="306"/>
      <c r="L92" s="306"/>
      <c r="M92" s="306"/>
      <c r="N92" s="242">
        <f t="shared" ref="N92:N99" si="15">IF($D92="MWh/yr (LHV)",$E92,$J92*$E92/Conversion_kWh_to_MJ)</f>
        <v>0</v>
      </c>
      <c r="O92" s="12"/>
      <c r="P92" s="12"/>
      <c r="Q92" s="12"/>
      <c r="R92" s="12"/>
      <c r="S92" s="300">
        <f t="shared" ref="S92" si="16">28*1000</f>
        <v>28000</v>
      </c>
      <c r="T92" s="477"/>
      <c r="U92" s="35" t="s">
        <v>1059</v>
      </c>
      <c r="V92" s="242" t="str">
        <f t="shared" ref="V92:V99" si="17">IFERROR(IF(D92="tonnes/yr", $S92*$E92/($N$9*3.6), $T92*3.6*$E92/($N$9*3.6)), "Unfilled fields to left")</f>
        <v>Unfilled fields to left</v>
      </c>
      <c r="X92" s="21"/>
    </row>
    <row r="93" spans="2:24" s="14" customFormat="1">
      <c r="B93" s="187" t="s">
        <v>1074</v>
      </c>
      <c r="C93" s="184" t="s">
        <v>1075</v>
      </c>
      <c r="D93" s="179" t="s">
        <v>459</v>
      </c>
      <c r="E93" s="306"/>
      <c r="F93" s="65"/>
      <c r="G93" s="65"/>
      <c r="H93" s="66"/>
      <c r="I93" s="66"/>
      <c r="J93" s="308"/>
      <c r="K93" s="308"/>
      <c r="L93" s="308"/>
      <c r="M93" s="308"/>
      <c r="N93" s="242">
        <f t="shared" si="15"/>
        <v>0</v>
      </c>
      <c r="O93" s="19"/>
      <c r="P93" s="19"/>
      <c r="Q93" s="19"/>
      <c r="R93" s="19"/>
      <c r="S93" s="300">
        <v>265000</v>
      </c>
      <c r="T93" s="477"/>
      <c r="U93" s="483" t="s">
        <v>1059</v>
      </c>
      <c r="V93" s="242" t="str">
        <f t="shared" si="17"/>
        <v>Unfilled fields to left</v>
      </c>
      <c r="X93" s="65"/>
    </row>
    <row r="94" spans="2:24" s="14" customFormat="1">
      <c r="B94" s="187" t="s">
        <v>1076</v>
      </c>
      <c r="C94" s="184" t="s">
        <v>1077</v>
      </c>
      <c r="D94" s="179" t="s">
        <v>459</v>
      </c>
      <c r="E94" s="306"/>
      <c r="F94" s="65"/>
      <c r="G94" s="65"/>
      <c r="H94" s="66"/>
      <c r="I94" s="66"/>
      <c r="J94" s="308"/>
      <c r="K94" s="308"/>
      <c r="L94" s="308"/>
      <c r="M94" s="308"/>
      <c r="N94" s="242">
        <f t="shared" si="15"/>
        <v>0</v>
      </c>
      <c r="O94" s="19"/>
      <c r="P94" s="19"/>
      <c r="Q94" s="19"/>
      <c r="R94" s="19"/>
      <c r="S94" s="300">
        <v>23500000</v>
      </c>
      <c r="T94" s="477"/>
      <c r="U94" s="483" t="s">
        <v>1059</v>
      </c>
      <c r="V94" s="242" t="str">
        <f t="shared" si="17"/>
        <v>Unfilled fields to left</v>
      </c>
      <c r="X94" s="65"/>
    </row>
    <row r="95" spans="2:24" s="14" customFormat="1">
      <c r="B95" s="187" t="s">
        <v>1078</v>
      </c>
      <c r="C95" s="184" t="s">
        <v>1079</v>
      </c>
      <c r="D95" s="179" t="s">
        <v>459</v>
      </c>
      <c r="E95" s="306"/>
      <c r="F95" s="65"/>
      <c r="G95" s="65"/>
      <c r="H95" s="66"/>
      <c r="I95" s="66"/>
      <c r="J95" s="308"/>
      <c r="K95" s="308"/>
      <c r="L95" s="308"/>
      <c r="M95" s="308"/>
      <c r="N95" s="242">
        <f t="shared" si="15"/>
        <v>0</v>
      </c>
      <c r="O95" s="19"/>
      <c r="P95" s="19"/>
      <c r="Q95" s="19"/>
      <c r="R95" s="19"/>
      <c r="S95" s="484" t="s">
        <v>1080</v>
      </c>
      <c r="T95" s="477"/>
      <c r="U95" s="308"/>
      <c r="V95" s="242" t="str">
        <f t="shared" si="17"/>
        <v>Unfilled fields to left</v>
      </c>
      <c r="X95" s="65"/>
    </row>
    <row r="96" spans="2:24" s="14" customFormat="1">
      <c r="B96" s="187" t="s">
        <v>1078</v>
      </c>
      <c r="C96" s="184" t="s">
        <v>1079</v>
      </c>
      <c r="D96" s="179" t="s">
        <v>459</v>
      </c>
      <c r="E96" s="306"/>
      <c r="F96" s="65"/>
      <c r="G96" s="65"/>
      <c r="H96" s="66"/>
      <c r="I96" s="66"/>
      <c r="J96" s="308"/>
      <c r="K96" s="308"/>
      <c r="L96" s="308"/>
      <c r="M96" s="308"/>
      <c r="N96" s="242">
        <f t="shared" si="15"/>
        <v>0</v>
      </c>
      <c r="O96" s="19"/>
      <c r="P96" s="19"/>
      <c r="Q96" s="19"/>
      <c r="R96" s="19"/>
      <c r="S96" s="484" t="s">
        <v>1080</v>
      </c>
      <c r="T96" s="477"/>
      <c r="U96" s="308"/>
      <c r="V96" s="242" t="str">
        <f t="shared" si="17"/>
        <v>Unfilled fields to left</v>
      </c>
      <c r="X96" s="65"/>
    </row>
    <row r="97" spans="2:25" s="14" customFormat="1">
      <c r="B97" s="187" t="s">
        <v>1078</v>
      </c>
      <c r="C97" s="184" t="s">
        <v>1079</v>
      </c>
      <c r="D97" s="179" t="s">
        <v>459</v>
      </c>
      <c r="E97" s="306"/>
      <c r="F97" s="65"/>
      <c r="G97" s="65"/>
      <c r="H97" s="66"/>
      <c r="I97" s="66"/>
      <c r="J97" s="308"/>
      <c r="K97" s="308"/>
      <c r="L97" s="308"/>
      <c r="M97" s="308"/>
      <c r="N97" s="242">
        <f t="shared" si="15"/>
        <v>0</v>
      </c>
      <c r="O97" s="19"/>
      <c r="P97" s="19"/>
      <c r="Q97" s="19"/>
      <c r="R97" s="19"/>
      <c r="S97" s="484" t="s">
        <v>1080</v>
      </c>
      <c r="T97" s="477"/>
      <c r="U97" s="308"/>
      <c r="V97" s="242" t="str">
        <f t="shared" si="17"/>
        <v>Unfilled fields to left</v>
      </c>
      <c r="X97" s="65"/>
    </row>
    <row r="98" spans="2:25" s="14" customFormat="1">
      <c r="B98" s="187"/>
      <c r="C98" s="184"/>
      <c r="D98" s="180"/>
      <c r="E98" s="500"/>
      <c r="F98" s="65"/>
      <c r="G98" s="65"/>
      <c r="H98" s="66"/>
      <c r="I98" s="66"/>
      <c r="J98" s="308"/>
      <c r="K98" s="308"/>
      <c r="L98" s="308"/>
      <c r="M98" s="308"/>
      <c r="N98" s="242">
        <f t="shared" si="15"/>
        <v>0</v>
      </c>
      <c r="O98" s="19"/>
      <c r="P98" s="19"/>
      <c r="Q98" s="19"/>
      <c r="R98" s="19"/>
      <c r="S98" s="302"/>
      <c r="T98" s="477"/>
      <c r="U98" s="308"/>
      <c r="V98" s="242" t="str">
        <f t="shared" si="17"/>
        <v>Unfilled fields to left</v>
      </c>
      <c r="X98" s="65"/>
    </row>
    <row r="99" spans="2:25" s="14" customFormat="1">
      <c r="B99" s="187"/>
      <c r="C99" s="184"/>
      <c r="D99" s="180"/>
      <c r="E99" s="500"/>
      <c r="F99" s="65"/>
      <c r="G99" s="65"/>
      <c r="H99" s="66"/>
      <c r="I99" s="66"/>
      <c r="J99" s="308"/>
      <c r="K99" s="308"/>
      <c r="L99" s="308"/>
      <c r="M99" s="308"/>
      <c r="N99" s="242">
        <f t="shared" si="15"/>
        <v>0</v>
      </c>
      <c r="O99" s="19"/>
      <c r="P99" s="19"/>
      <c r="Q99" s="19"/>
      <c r="R99" s="19"/>
      <c r="S99" s="302"/>
      <c r="T99" s="477"/>
      <c r="U99" s="308"/>
      <c r="V99" s="242" t="str">
        <f t="shared" si="17"/>
        <v>Unfilled fields to left</v>
      </c>
      <c r="X99" s="65"/>
    </row>
    <row r="100" spans="2:25">
      <c r="C100" s="17"/>
      <c r="D100" s="17"/>
      <c r="E100" s="140"/>
      <c r="F100" s="17"/>
      <c r="G100" s="17"/>
      <c r="H100" s="18"/>
      <c r="I100" s="18"/>
      <c r="J100" s="40"/>
      <c r="K100" s="40"/>
      <c r="L100" s="40"/>
      <c r="M100" s="40"/>
      <c r="N100" s="40"/>
      <c r="O100" s="12"/>
      <c r="S100" s="40"/>
      <c r="T100" s="40"/>
      <c r="U100" s="40"/>
      <c r="V100" s="40"/>
      <c r="Y100" s="12"/>
    </row>
    <row r="101" spans="2:25">
      <c r="E101" s="107"/>
      <c r="I101" s="12"/>
      <c r="J101" s="107"/>
      <c r="K101" s="107"/>
      <c r="L101" s="107"/>
      <c r="M101" s="107"/>
      <c r="N101" s="107"/>
      <c r="O101" s="12"/>
      <c r="S101" s="39"/>
      <c r="T101" s="39"/>
      <c r="U101" s="485" t="s">
        <v>1081</v>
      </c>
      <c r="V101" s="541">
        <f>IF(OR(COUNTIF(Initial_questions!$E$112,"Default"), COUNTIF(Initial_questions!$E$114:$E$115,"Default")),"Default data selected",IF(E107=0,"",SUM(V20,V40,V53,V66,V74,V83,V91)))</f>
        <v>0</v>
      </c>
      <c r="Y101" s="12"/>
    </row>
    <row r="102" spans="2:25">
      <c r="E102" s="107"/>
      <c r="I102" s="12"/>
      <c r="J102" s="107"/>
      <c r="K102" s="107"/>
      <c r="L102" s="107"/>
      <c r="M102" s="107"/>
      <c r="N102" s="107"/>
      <c r="O102" s="12"/>
      <c r="S102" s="107"/>
      <c r="T102" s="107"/>
      <c r="U102" s="485" t="s">
        <v>1082</v>
      </c>
      <c r="V102" s="542">
        <f>IF(OR(COUNTIF(Initial_questions!$E$112,"Default"), COUNTIF(Initial_questions!$E$114:$E$115,"Default")),"Default data selected",IF(E108=0,"",SUM(V24,V40,V53,V66,V74,V83,V91)))</f>
        <v>0</v>
      </c>
      <c r="Y102" s="12"/>
    </row>
    <row r="103" spans="2:25">
      <c r="E103" s="107"/>
      <c r="I103" s="12"/>
      <c r="J103" s="107"/>
      <c r="K103" s="107"/>
      <c r="L103" s="107"/>
      <c r="M103" s="107"/>
      <c r="N103" s="107"/>
      <c r="O103" s="12"/>
      <c r="S103" s="107"/>
      <c r="T103" s="107"/>
      <c r="U103" s="38" t="s">
        <v>1083</v>
      </c>
      <c r="V103" s="543">
        <f>IF(OR(COUNTIF(Initial_questions!$E$112,"Default"), COUNTIF(Initial_questions!$E$114:$E$115,"Default")),"Default data selected",IF(E109=0,"",SUM(V28,V40,V53,V66,V74,V83,V91)))</f>
        <v>0</v>
      </c>
      <c r="Y103" s="12"/>
    </row>
    <row r="104" spans="2:25">
      <c r="E104" s="107"/>
      <c r="I104" s="12"/>
      <c r="J104" s="107"/>
      <c r="K104" s="107"/>
      <c r="L104" s="107"/>
      <c r="M104" s="107"/>
      <c r="N104" s="107"/>
      <c r="O104" s="12"/>
      <c r="S104" s="107"/>
      <c r="T104" s="107"/>
      <c r="U104" s="38" t="s">
        <v>1084</v>
      </c>
      <c r="V104" s="593">
        <f>IF(OR(COUNTIF(Initial_questions!$E$112,"Default"), COUNTIF(Initial_questions!$E$114:$E$115,"Default")),"Default data selected",IF(E110=0,"",SUM(V32,V40,V53,V66,V74,V83,V91)))</f>
        <v>0</v>
      </c>
      <c r="Y104" s="12"/>
    </row>
    <row r="105" spans="2:25">
      <c r="B105" s="145" t="s">
        <v>132</v>
      </c>
      <c r="C105" s="159"/>
      <c r="D105" s="159"/>
      <c r="E105" s="499"/>
      <c r="G105" s="19"/>
      <c r="H105" s="12"/>
      <c r="I105" s="12"/>
      <c r="J105" s="107"/>
      <c r="K105" s="107"/>
      <c r="L105" s="107"/>
      <c r="M105" s="107"/>
      <c r="N105" s="107"/>
      <c r="O105" s="12"/>
      <c r="S105" s="107"/>
      <c r="T105" s="107"/>
      <c r="U105" s="485" t="s">
        <v>1085</v>
      </c>
      <c r="V105" s="544">
        <f>IF(OR(COUNTIF(Initial_questions!$E$112,"Default"), COUNTIF(Initial_questions!$E$114:$E$115,"Default")),"Default data selected",IF(E111=0,"",SUM(V36,V40,V53,V66,V74,V83,V91)))</f>
        <v>0</v>
      </c>
      <c r="Y105" s="12"/>
    </row>
    <row r="106" spans="2:25">
      <c r="B106" s="16" t="s">
        <v>1086</v>
      </c>
      <c r="C106" s="15" t="s">
        <v>1087</v>
      </c>
      <c r="D106" s="15" t="s">
        <v>1088</v>
      </c>
      <c r="E106" s="501"/>
      <c r="H106" s="12"/>
      <c r="I106" s="12"/>
      <c r="J106" s="107"/>
      <c r="K106" s="107"/>
      <c r="L106" s="107"/>
      <c r="M106" s="107"/>
      <c r="N106" s="107"/>
      <c r="O106" s="12"/>
      <c r="S106" s="107"/>
      <c r="T106" s="107"/>
      <c r="U106" s="107"/>
      <c r="V106" s="12"/>
      <c r="X106" s="25"/>
      <c r="Y106" s="12"/>
    </row>
    <row r="107" spans="2:25">
      <c r="B107" s="16" t="s">
        <v>1089</v>
      </c>
      <c r="C107" s="15" t="s">
        <v>455</v>
      </c>
      <c r="D107" s="15" t="s">
        <v>785</v>
      </c>
      <c r="E107" s="462" t="str">
        <f>IFERROR(Initial_questions!E34/SUM(Initial_questions!E34:E38), "Electricity inputs not specified")</f>
        <v>Electricity inputs not specified</v>
      </c>
      <c r="H107" s="12"/>
      <c r="I107" s="12"/>
      <c r="J107" s="107"/>
      <c r="K107" s="107"/>
      <c r="L107" s="107"/>
      <c r="M107" s="107"/>
      <c r="N107" s="107"/>
      <c r="O107" s="12"/>
      <c r="S107" s="39"/>
      <c r="T107" s="39"/>
      <c r="U107" s="39"/>
      <c r="X107" s="25"/>
    </row>
    <row r="108" spans="2:25">
      <c r="B108" s="16" t="s">
        <v>1089</v>
      </c>
      <c r="C108" s="15" t="s">
        <v>173</v>
      </c>
      <c r="D108" s="15" t="s">
        <v>785</v>
      </c>
      <c r="E108" s="462" t="str">
        <f>IFERROR(Initial_questions!E35/SUM(Initial_questions!E34:E38), "Electricity inputs not specified")</f>
        <v>Electricity inputs not specified</v>
      </c>
      <c r="H108" s="12"/>
      <c r="I108" s="12"/>
      <c r="J108" s="107"/>
      <c r="K108" s="107"/>
      <c r="L108" s="107"/>
      <c r="M108" s="107"/>
      <c r="N108" s="107"/>
      <c r="O108" s="12"/>
      <c r="S108" s="39"/>
      <c r="T108" s="39"/>
      <c r="U108" s="39"/>
      <c r="X108" s="25"/>
    </row>
    <row r="109" spans="2:25">
      <c r="B109" s="16" t="s">
        <v>1089</v>
      </c>
      <c r="C109" s="15" t="s">
        <v>489</v>
      </c>
      <c r="D109" s="15" t="s">
        <v>785</v>
      </c>
      <c r="E109" s="462" t="str">
        <f>IFERROR(Initial_questions!E36/SUM(Initial_questions!E34:E38), "Electricity inputs not specified")</f>
        <v>Electricity inputs not specified</v>
      </c>
      <c r="H109" s="12"/>
      <c r="I109" s="12"/>
      <c r="J109" s="107"/>
      <c r="K109" s="107"/>
      <c r="L109" s="107"/>
      <c r="M109" s="107"/>
      <c r="N109" s="107"/>
      <c r="O109" s="12"/>
      <c r="S109" s="39"/>
      <c r="T109" s="39"/>
      <c r="U109" s="39"/>
      <c r="X109" s="25"/>
    </row>
    <row r="110" spans="2:25">
      <c r="B110" s="16" t="s">
        <v>1089</v>
      </c>
      <c r="C110" s="15" t="s">
        <v>175</v>
      </c>
      <c r="D110" s="15" t="s">
        <v>785</v>
      </c>
      <c r="E110" s="462" t="str">
        <f>IFERROR(Initial_questions!E37/SUM(Initial_questions!E34:E38), "Electricity inputs not specified")</f>
        <v>Electricity inputs not specified</v>
      </c>
      <c r="H110" s="12"/>
      <c r="I110" s="12"/>
      <c r="J110" s="107"/>
      <c r="K110" s="107"/>
      <c r="L110" s="107"/>
      <c r="M110" s="107"/>
      <c r="N110" s="107"/>
      <c r="O110" s="12"/>
      <c r="S110" s="39"/>
      <c r="T110" s="39"/>
      <c r="U110" s="39"/>
      <c r="X110" s="25"/>
    </row>
    <row r="111" spans="2:25">
      <c r="B111" s="16" t="s">
        <v>1089</v>
      </c>
      <c r="C111" s="15" t="s">
        <v>1090</v>
      </c>
      <c r="D111" s="15" t="s">
        <v>785</v>
      </c>
      <c r="E111" s="462" t="str">
        <f>IFERROR(Initial_questions!E38/SUM(Initial_questions!E34:E38), "Electricity inputs not specified")</f>
        <v>Electricity inputs not specified</v>
      </c>
      <c r="H111" s="12"/>
      <c r="I111" s="12"/>
      <c r="J111" s="107"/>
      <c r="K111" s="107"/>
      <c r="L111" s="107"/>
      <c r="M111" s="107"/>
      <c r="N111" s="107"/>
      <c r="O111" s="12"/>
      <c r="S111" s="39"/>
      <c r="T111" s="39"/>
      <c r="U111" s="39"/>
      <c r="X111" s="25"/>
    </row>
    <row r="112" spans="2:25">
      <c r="B112" s="16" t="s">
        <v>1091</v>
      </c>
      <c r="C112" s="15" t="s">
        <v>1092</v>
      </c>
      <c r="D112" s="15" t="s">
        <v>785</v>
      </c>
      <c r="E112" s="511"/>
      <c r="H112" s="12"/>
      <c r="I112" s="12"/>
      <c r="J112" s="107"/>
      <c r="K112" s="107"/>
      <c r="L112" s="107"/>
      <c r="M112" s="107"/>
      <c r="N112" s="107"/>
      <c r="O112" s="12"/>
      <c r="S112" s="39"/>
      <c r="T112" s="39"/>
      <c r="U112" s="39"/>
      <c r="X112" s="25"/>
    </row>
    <row r="113" spans="1:29">
      <c r="B113" s="16"/>
      <c r="C113" s="15"/>
      <c r="D113" s="15"/>
      <c r="E113" s="511"/>
      <c r="H113" s="12"/>
      <c r="I113" s="12"/>
      <c r="J113" s="107"/>
      <c r="K113" s="107"/>
      <c r="L113" s="107"/>
      <c r="M113" s="107"/>
      <c r="N113" s="107"/>
      <c r="O113" s="12"/>
      <c r="S113" s="39"/>
      <c r="T113" s="39"/>
      <c r="U113" s="39"/>
      <c r="X113" s="25"/>
    </row>
    <row r="114" spans="1:29">
      <c r="A114" s="19"/>
      <c r="B114" s="16"/>
      <c r="C114" s="15"/>
      <c r="D114" s="15"/>
      <c r="E114" s="501"/>
      <c r="F114" s="19"/>
      <c r="G114" s="19"/>
      <c r="H114" s="19"/>
      <c r="I114" s="19"/>
      <c r="J114" s="113"/>
      <c r="K114" s="113"/>
      <c r="L114" s="113"/>
      <c r="M114" s="113"/>
      <c r="N114" s="113"/>
      <c r="O114" s="19"/>
      <c r="P114" s="19"/>
      <c r="Q114" s="19"/>
      <c r="R114" s="19"/>
      <c r="S114" s="125"/>
      <c r="T114" s="125"/>
      <c r="U114" s="39"/>
      <c r="W114" s="19"/>
      <c r="X114" s="19"/>
      <c r="Y114" s="19"/>
      <c r="Z114" s="19"/>
      <c r="AA114" s="19"/>
      <c r="AB114" s="19"/>
      <c r="AC114" s="19"/>
    </row>
    <row r="115" spans="1:29">
      <c r="E115" s="502"/>
      <c r="J115" s="39"/>
      <c r="K115" s="39"/>
      <c r="L115" s="39"/>
      <c r="M115" s="39"/>
      <c r="S115" s="39"/>
      <c r="T115" s="39"/>
      <c r="U115" s="125"/>
      <c r="V115" s="125"/>
      <c r="Y115" s="19"/>
    </row>
    <row r="116" spans="1:29">
      <c r="E116" s="113"/>
      <c r="J116" s="39"/>
      <c r="K116" s="39"/>
      <c r="L116" s="39"/>
      <c r="M116" s="39"/>
      <c r="S116" s="39"/>
      <c r="T116" s="39"/>
      <c r="U116" s="39"/>
    </row>
    <row r="117" spans="1:29">
      <c r="E117" s="113"/>
      <c r="J117" s="39"/>
      <c r="K117" s="39"/>
      <c r="L117" s="39"/>
      <c r="M117" s="39"/>
      <c r="S117" s="39"/>
      <c r="T117" s="39"/>
      <c r="U117" s="39"/>
    </row>
    <row r="118" spans="1:29">
      <c r="E118" s="113"/>
      <c r="J118" s="39"/>
      <c r="K118" s="39"/>
      <c r="L118" s="39"/>
      <c r="M118" s="39"/>
      <c r="S118" s="39"/>
      <c r="T118" s="39"/>
      <c r="U118" s="39"/>
    </row>
    <row r="119" spans="1:29">
      <c r="E119" s="113"/>
      <c r="J119" s="39"/>
      <c r="K119" s="39"/>
      <c r="L119" s="39"/>
      <c r="M119" s="39"/>
      <c r="S119" s="39"/>
      <c r="T119" s="39"/>
      <c r="U119" s="39"/>
    </row>
    <row r="120" spans="1:29">
      <c r="E120" s="113"/>
      <c r="J120" s="39"/>
      <c r="K120" s="39"/>
      <c r="L120" s="39"/>
      <c r="M120" s="39"/>
      <c r="S120" s="39"/>
      <c r="T120" s="39"/>
      <c r="U120" s="39"/>
    </row>
    <row r="121" spans="1:29">
      <c r="E121" s="113"/>
      <c r="J121" s="39"/>
      <c r="K121" s="39"/>
      <c r="L121" s="39"/>
      <c r="M121" s="39"/>
      <c r="S121" s="39"/>
      <c r="T121" s="39"/>
      <c r="U121" s="39"/>
    </row>
    <row r="122" spans="1:29">
      <c r="E122" s="113"/>
      <c r="J122" s="39"/>
      <c r="K122" s="39"/>
      <c r="L122" s="39"/>
      <c r="M122" s="39"/>
      <c r="S122" s="39"/>
      <c r="T122" s="39"/>
      <c r="U122" s="39"/>
    </row>
    <row r="123" spans="1:29">
      <c r="E123" s="113"/>
      <c r="J123" s="39"/>
      <c r="K123" s="39"/>
      <c r="L123" s="39"/>
      <c r="M123" s="39"/>
      <c r="S123" s="39"/>
      <c r="T123" s="39"/>
      <c r="U123" s="39"/>
    </row>
    <row r="124" spans="1:29">
      <c r="E124" s="113"/>
      <c r="J124" s="39"/>
      <c r="K124" s="39"/>
      <c r="L124" s="39"/>
      <c r="M124" s="39"/>
      <c r="S124" s="39"/>
      <c r="T124" s="39"/>
      <c r="U124" s="39"/>
    </row>
    <row r="125" spans="1:29">
      <c r="E125" s="113"/>
      <c r="J125" s="39"/>
      <c r="K125" s="39"/>
      <c r="L125" s="39"/>
      <c r="M125" s="39"/>
      <c r="S125" s="39"/>
      <c r="T125" s="39"/>
      <c r="U125" s="39"/>
    </row>
    <row r="126" spans="1:29">
      <c r="E126" s="113"/>
      <c r="J126" s="39"/>
      <c r="K126" s="39"/>
      <c r="L126" s="39"/>
      <c r="M126" s="39"/>
      <c r="S126" s="39"/>
      <c r="T126" s="39"/>
      <c r="U126" s="39"/>
    </row>
    <row r="127" spans="1:29">
      <c r="E127" s="113"/>
      <c r="J127" s="39"/>
      <c r="K127" s="39"/>
      <c r="L127" s="39"/>
      <c r="M127" s="39"/>
      <c r="S127" s="39"/>
      <c r="T127" s="39"/>
      <c r="U127" s="39"/>
    </row>
    <row r="128" spans="1:29">
      <c r="E128" s="113"/>
      <c r="S128" s="39"/>
      <c r="T128" s="39"/>
      <c r="U128" s="39"/>
    </row>
    <row r="129" spans="5:21">
      <c r="E129" s="113"/>
      <c r="S129" s="39"/>
      <c r="T129" s="39"/>
      <c r="U129" s="39"/>
    </row>
    <row r="130" spans="5:21">
      <c r="E130" s="113"/>
      <c r="S130" s="39"/>
      <c r="T130" s="39"/>
      <c r="U130" s="39"/>
    </row>
    <row r="131" spans="5:21">
      <c r="E131" s="113"/>
      <c r="S131" s="39"/>
      <c r="T131" s="39"/>
      <c r="U131" s="39"/>
    </row>
    <row r="132" spans="5:21">
      <c r="E132" s="113"/>
      <c r="S132" s="39"/>
      <c r="T132" s="39"/>
      <c r="U132" s="39"/>
    </row>
    <row r="133" spans="5:21">
      <c r="E133" s="113"/>
      <c r="S133" s="39"/>
      <c r="T133" s="39"/>
      <c r="U133" s="39"/>
    </row>
    <row r="134" spans="5:21">
      <c r="E134" s="113"/>
      <c r="S134" s="39"/>
      <c r="T134" s="39"/>
      <c r="U134" s="39"/>
    </row>
    <row r="135" spans="5:21">
      <c r="E135" s="113"/>
      <c r="S135" s="39"/>
      <c r="T135" s="39"/>
      <c r="U135" s="39"/>
    </row>
    <row r="136" spans="5:21">
      <c r="E136" s="113"/>
      <c r="S136" s="39"/>
      <c r="T136" s="39"/>
      <c r="U136" s="39"/>
    </row>
    <row r="137" spans="5:21">
      <c r="E137" s="113"/>
      <c r="S137" s="39"/>
      <c r="T137" s="39"/>
      <c r="U137" s="39"/>
    </row>
    <row r="138" spans="5:21">
      <c r="E138" s="113"/>
      <c r="S138" s="39"/>
      <c r="T138" s="39"/>
      <c r="U138" s="39"/>
    </row>
    <row r="139" spans="5:21">
      <c r="E139" s="113"/>
      <c r="S139" s="39"/>
      <c r="T139" s="39"/>
      <c r="U139" s="39"/>
    </row>
    <row r="140" spans="5:21">
      <c r="E140" s="113"/>
      <c r="S140" s="39"/>
      <c r="T140" s="39"/>
      <c r="U140" s="39"/>
    </row>
    <row r="141" spans="5:21">
      <c r="E141" s="113"/>
      <c r="S141" s="39"/>
      <c r="T141" s="39"/>
      <c r="U141" s="39"/>
    </row>
    <row r="142" spans="5:21">
      <c r="E142" s="113"/>
      <c r="S142" s="39"/>
      <c r="T142" s="39"/>
      <c r="U142" s="39"/>
    </row>
    <row r="143" spans="5:21">
      <c r="E143" s="113"/>
      <c r="S143" s="39"/>
      <c r="T143" s="39"/>
      <c r="U143" s="39"/>
    </row>
    <row r="144" spans="5:21">
      <c r="E144" s="113"/>
      <c r="S144" s="39"/>
      <c r="T144" s="39"/>
      <c r="U144" s="39"/>
    </row>
    <row r="145" spans="5:21">
      <c r="E145" s="113"/>
      <c r="S145" s="39"/>
      <c r="T145" s="39"/>
      <c r="U145" s="39"/>
    </row>
    <row r="146" spans="5:21">
      <c r="E146" s="113"/>
      <c r="S146" s="39"/>
      <c r="T146" s="39"/>
      <c r="U146" s="39"/>
    </row>
    <row r="147" spans="5:21">
      <c r="E147" s="113"/>
      <c r="S147" s="39"/>
      <c r="T147" s="39"/>
      <c r="U147" s="39"/>
    </row>
    <row r="148" spans="5:21">
      <c r="E148" s="113"/>
      <c r="S148" s="39"/>
      <c r="T148" s="39"/>
      <c r="U148" s="39"/>
    </row>
    <row r="149" spans="5:21">
      <c r="E149" s="113"/>
      <c r="S149" s="39"/>
      <c r="T149" s="39"/>
      <c r="U149" s="39"/>
    </row>
    <row r="150" spans="5:21">
      <c r="E150" s="113"/>
      <c r="S150" s="39"/>
      <c r="T150" s="39"/>
      <c r="U150" s="39"/>
    </row>
    <row r="151" spans="5:21">
      <c r="E151" s="113"/>
      <c r="S151" s="39"/>
      <c r="T151" s="39"/>
      <c r="U151" s="39"/>
    </row>
    <row r="152" spans="5:21">
      <c r="E152" s="113"/>
      <c r="S152" s="39"/>
      <c r="T152" s="39"/>
      <c r="U152" s="39"/>
    </row>
    <row r="153" spans="5:21">
      <c r="E153" s="113"/>
      <c r="S153" s="39"/>
      <c r="T153" s="39"/>
      <c r="U153" s="39"/>
    </row>
    <row r="154" spans="5:21">
      <c r="E154" s="256"/>
      <c r="S154" s="39"/>
      <c r="T154" s="39"/>
      <c r="U154" s="39"/>
    </row>
    <row r="155" spans="5:21">
      <c r="E155" s="256"/>
      <c r="S155" s="39"/>
      <c r="T155" s="39"/>
      <c r="U155" s="39"/>
    </row>
    <row r="156" spans="5:21">
      <c r="E156" s="256"/>
      <c r="S156" s="39"/>
      <c r="T156" s="39"/>
      <c r="U156" s="39"/>
    </row>
    <row r="157" spans="5:21">
      <c r="E157" s="256"/>
      <c r="S157" s="39"/>
      <c r="T157" s="39"/>
      <c r="U157" s="39"/>
    </row>
    <row r="158" spans="5:21">
      <c r="E158" s="256"/>
      <c r="S158" s="39"/>
      <c r="T158" s="39"/>
      <c r="U158" s="39"/>
    </row>
    <row r="159" spans="5:21">
      <c r="E159" s="256"/>
      <c r="S159" s="39"/>
      <c r="T159" s="39"/>
      <c r="U159" s="39"/>
    </row>
    <row r="160" spans="5:21">
      <c r="E160" s="256"/>
      <c r="S160" s="39"/>
      <c r="T160" s="39"/>
      <c r="U160" s="39"/>
    </row>
    <row r="161" spans="5:21">
      <c r="E161" s="256"/>
      <c r="S161" s="39"/>
      <c r="T161" s="39"/>
      <c r="U161" s="39"/>
    </row>
    <row r="162" spans="5:21">
      <c r="E162" s="256"/>
      <c r="S162" s="39"/>
      <c r="T162" s="39"/>
      <c r="U162" s="39"/>
    </row>
    <row r="163" spans="5:21">
      <c r="E163" s="256"/>
      <c r="S163" s="39"/>
      <c r="T163" s="39"/>
      <c r="U163" s="39"/>
    </row>
    <row r="164" spans="5:21">
      <c r="E164" s="256"/>
      <c r="S164" s="39"/>
      <c r="T164" s="39"/>
      <c r="U164" s="39"/>
    </row>
    <row r="165" spans="5:21">
      <c r="E165" s="256"/>
      <c r="S165" s="39"/>
      <c r="T165" s="39"/>
      <c r="U165" s="39"/>
    </row>
    <row r="166" spans="5:21">
      <c r="E166" s="256"/>
      <c r="S166" s="39"/>
      <c r="T166" s="39"/>
      <c r="U166" s="39"/>
    </row>
    <row r="167" spans="5:21">
      <c r="E167" s="256"/>
      <c r="S167" s="39"/>
      <c r="T167" s="39"/>
      <c r="U167" s="39"/>
    </row>
    <row r="168" spans="5:21">
      <c r="E168" s="256"/>
      <c r="S168" s="39"/>
      <c r="T168" s="39"/>
      <c r="U168" s="39"/>
    </row>
    <row r="169" spans="5:21">
      <c r="E169" s="256"/>
      <c r="S169" s="39"/>
      <c r="T169" s="39"/>
      <c r="U169" s="39"/>
    </row>
    <row r="170" spans="5:21">
      <c r="E170" s="256"/>
      <c r="S170" s="39"/>
      <c r="T170" s="39"/>
      <c r="U170" s="39"/>
    </row>
    <row r="171" spans="5:21">
      <c r="E171" s="256"/>
      <c r="S171" s="39"/>
      <c r="T171" s="39"/>
      <c r="U171" s="39"/>
    </row>
    <row r="172" spans="5:21">
      <c r="E172" s="256"/>
      <c r="S172" s="39"/>
      <c r="T172" s="39"/>
      <c r="U172" s="39"/>
    </row>
    <row r="173" spans="5:21">
      <c r="E173" s="256"/>
      <c r="S173" s="39"/>
      <c r="T173" s="39"/>
      <c r="U173" s="39"/>
    </row>
    <row r="174" spans="5:21">
      <c r="E174" s="256"/>
      <c r="S174" s="39"/>
      <c r="T174" s="39"/>
      <c r="U174" s="39"/>
    </row>
    <row r="175" spans="5:21">
      <c r="E175" s="256"/>
      <c r="S175" s="39"/>
      <c r="T175" s="39"/>
      <c r="U175" s="39"/>
    </row>
    <row r="176" spans="5:21">
      <c r="E176" s="256"/>
      <c r="S176" s="39"/>
      <c r="T176" s="39"/>
      <c r="U176" s="39"/>
    </row>
    <row r="177" spans="5:21">
      <c r="E177" s="256"/>
      <c r="S177" s="39"/>
      <c r="T177" s="39"/>
      <c r="U177" s="39"/>
    </row>
    <row r="178" spans="5:21">
      <c r="E178" s="256"/>
      <c r="S178" s="39"/>
      <c r="T178" s="39"/>
      <c r="U178" s="39"/>
    </row>
    <row r="179" spans="5:21">
      <c r="E179" s="256"/>
      <c r="S179" s="39"/>
      <c r="T179" s="39"/>
      <c r="U179" s="39"/>
    </row>
    <row r="180" spans="5:21">
      <c r="E180" s="256"/>
      <c r="S180" s="39"/>
      <c r="T180" s="39"/>
      <c r="U180" s="39"/>
    </row>
    <row r="181" spans="5:21">
      <c r="E181" s="256"/>
      <c r="S181" s="39"/>
      <c r="T181" s="39"/>
      <c r="U181" s="39"/>
    </row>
    <row r="182" spans="5:21">
      <c r="E182" s="256"/>
      <c r="S182" s="39"/>
      <c r="T182" s="39"/>
      <c r="U182" s="39"/>
    </row>
    <row r="183" spans="5:21">
      <c r="E183" s="256"/>
      <c r="S183" s="39"/>
      <c r="T183" s="39"/>
      <c r="U183" s="39"/>
    </row>
    <row r="184" spans="5:21">
      <c r="E184" s="256"/>
      <c r="S184" s="39"/>
      <c r="T184" s="39"/>
      <c r="U184" s="39"/>
    </row>
    <row r="185" spans="5:21">
      <c r="E185" s="256"/>
      <c r="S185" s="39"/>
      <c r="T185" s="39"/>
      <c r="U185" s="39"/>
    </row>
    <row r="186" spans="5:21">
      <c r="E186" s="256"/>
      <c r="S186" s="39"/>
      <c r="T186" s="39"/>
      <c r="U186" s="39"/>
    </row>
    <row r="187" spans="5:21">
      <c r="E187" s="256"/>
      <c r="S187" s="39"/>
      <c r="T187" s="39"/>
      <c r="U187" s="39"/>
    </row>
    <row r="188" spans="5:21">
      <c r="E188" s="256"/>
      <c r="S188" s="39"/>
      <c r="T188" s="39"/>
      <c r="U188" s="39"/>
    </row>
    <row r="189" spans="5:21">
      <c r="E189" s="256"/>
      <c r="S189" s="39"/>
      <c r="T189" s="39"/>
      <c r="U189" s="39"/>
    </row>
    <row r="190" spans="5:21">
      <c r="E190" s="256"/>
      <c r="S190" s="39"/>
      <c r="T190" s="39"/>
      <c r="U190" s="39"/>
    </row>
    <row r="191" spans="5:21">
      <c r="E191" s="256"/>
      <c r="S191" s="39"/>
      <c r="T191" s="39"/>
      <c r="U191" s="39"/>
    </row>
    <row r="192" spans="5:21">
      <c r="E192" s="256"/>
      <c r="S192" s="39"/>
      <c r="T192" s="39"/>
      <c r="U192" s="39"/>
    </row>
    <row r="193" spans="5:21">
      <c r="E193" s="256"/>
      <c r="S193" s="39"/>
      <c r="T193" s="39"/>
      <c r="U193" s="39"/>
    </row>
    <row r="194" spans="5:21">
      <c r="E194" s="256"/>
      <c r="S194" s="39"/>
      <c r="T194" s="39"/>
      <c r="U194" s="39"/>
    </row>
    <row r="195" spans="5:21">
      <c r="E195" s="256"/>
      <c r="U195" s="39"/>
    </row>
    <row r="196" spans="5:21">
      <c r="E196" s="256"/>
    </row>
    <row r="197" spans="5:21">
      <c r="E197" s="256"/>
    </row>
    <row r="198" spans="5:21">
      <c r="E198" s="256"/>
    </row>
    <row r="199" spans="5:21">
      <c r="E199" s="256"/>
    </row>
    <row r="200" spans="5:21">
      <c r="E200" s="256"/>
    </row>
    <row r="201" spans="5:21">
      <c r="E201" s="256"/>
    </row>
    <row r="202" spans="5:21">
      <c r="E202" s="256"/>
    </row>
    <row r="203" spans="5:21">
      <c r="E203" s="256"/>
    </row>
    <row r="204" spans="5:21">
      <c r="E204" s="256"/>
    </row>
    <row r="205" spans="5:21">
      <c r="E205" s="256"/>
    </row>
    <row r="206" spans="5:21">
      <c r="E206" s="256"/>
    </row>
    <row r="207" spans="5:21">
      <c r="E207" s="256"/>
    </row>
    <row r="208" spans="5:21">
      <c r="E208" s="256"/>
    </row>
    <row r="209" spans="5:5">
      <c r="E209" s="256"/>
    </row>
    <row r="210" spans="5:5">
      <c r="E210" s="256"/>
    </row>
    <row r="211" spans="5:5">
      <c r="E211" s="256"/>
    </row>
    <row r="212" spans="5:5">
      <c r="E212" s="256"/>
    </row>
    <row r="213" spans="5:5">
      <c r="E213" s="256"/>
    </row>
    <row r="214" spans="5:5">
      <c r="E214" s="256"/>
    </row>
    <row r="215" spans="5:5">
      <c r="E215" s="256"/>
    </row>
    <row r="216" spans="5:5">
      <c r="E216" s="256"/>
    </row>
    <row r="217" spans="5:5">
      <c r="E217" s="256"/>
    </row>
    <row r="218" spans="5:5">
      <c r="E218" s="256"/>
    </row>
    <row r="219" spans="5:5">
      <c r="E219" s="256"/>
    </row>
    <row r="220" spans="5:5">
      <c r="E220" s="256"/>
    </row>
    <row r="221" spans="5:5">
      <c r="E221" s="256"/>
    </row>
    <row r="222" spans="5:5">
      <c r="E222" s="256"/>
    </row>
    <row r="223" spans="5:5">
      <c r="E223" s="256"/>
    </row>
    <row r="224" spans="5:5">
      <c r="E224" s="256"/>
    </row>
    <row r="225" spans="5:5">
      <c r="E225" s="256"/>
    </row>
    <row r="226" spans="5:5">
      <c r="E226" s="256"/>
    </row>
    <row r="227" spans="5:5">
      <c r="E227" s="256"/>
    </row>
    <row r="228" spans="5:5">
      <c r="E228" s="256"/>
    </row>
    <row r="229" spans="5:5">
      <c r="E229" s="256"/>
    </row>
    <row r="230" spans="5:5">
      <c r="E230" s="256"/>
    </row>
    <row r="231" spans="5:5">
      <c r="E231" s="256"/>
    </row>
    <row r="232" spans="5:5">
      <c r="E232" s="256"/>
    </row>
    <row r="233" spans="5:5">
      <c r="E233" s="256"/>
    </row>
    <row r="234" spans="5:5">
      <c r="E234" s="256"/>
    </row>
    <row r="235" spans="5:5">
      <c r="E235" s="256"/>
    </row>
    <row r="236" spans="5:5">
      <c r="E236" s="256"/>
    </row>
    <row r="237" spans="5:5">
      <c r="E237" s="256"/>
    </row>
    <row r="238" spans="5:5">
      <c r="E238" s="256"/>
    </row>
    <row r="239" spans="5:5">
      <c r="E239" s="256"/>
    </row>
    <row r="240" spans="5:5">
      <c r="E240" s="256"/>
    </row>
    <row r="241" spans="5:5">
      <c r="E241" s="256"/>
    </row>
    <row r="242" spans="5:5">
      <c r="E242" s="256"/>
    </row>
    <row r="243" spans="5:5">
      <c r="E243" s="256"/>
    </row>
    <row r="244" spans="5:5">
      <c r="E244" s="256"/>
    </row>
    <row r="245" spans="5:5">
      <c r="E245" s="256"/>
    </row>
    <row r="246" spans="5:5">
      <c r="E246" s="256"/>
    </row>
    <row r="247" spans="5:5">
      <c r="E247" s="256"/>
    </row>
    <row r="248" spans="5:5">
      <c r="E248" s="256"/>
    </row>
    <row r="249" spans="5:5">
      <c r="E249" s="256"/>
    </row>
    <row r="250" spans="5:5">
      <c r="E250" s="256"/>
    </row>
    <row r="251" spans="5:5">
      <c r="E251" s="256"/>
    </row>
    <row r="252" spans="5:5">
      <c r="E252" s="256"/>
    </row>
    <row r="253" spans="5:5">
      <c r="E253" s="256"/>
    </row>
    <row r="254" spans="5:5">
      <c r="E254" s="256"/>
    </row>
    <row r="255" spans="5:5">
      <c r="E255" s="256"/>
    </row>
    <row r="256" spans="5:5">
      <c r="E256" s="256"/>
    </row>
    <row r="257" spans="5:5">
      <c r="E257" s="256"/>
    </row>
    <row r="258" spans="5:5">
      <c r="E258" s="256"/>
    </row>
    <row r="259" spans="5:5">
      <c r="E259" s="256"/>
    </row>
    <row r="260" spans="5:5">
      <c r="E260" s="256"/>
    </row>
    <row r="261" spans="5:5">
      <c r="E261" s="256"/>
    </row>
    <row r="262" spans="5:5">
      <c r="E262" s="256"/>
    </row>
    <row r="263" spans="5:5">
      <c r="E263" s="256"/>
    </row>
    <row r="264" spans="5:5">
      <c r="E264" s="256"/>
    </row>
    <row r="265" spans="5:5">
      <c r="E265" s="256"/>
    </row>
    <row r="266" spans="5:5">
      <c r="E266" s="256"/>
    </row>
    <row r="267" spans="5:5">
      <c r="E267" s="256"/>
    </row>
    <row r="268" spans="5:5">
      <c r="E268" s="256"/>
    </row>
    <row r="269" spans="5:5">
      <c r="E269" s="256"/>
    </row>
    <row r="270" spans="5:5">
      <c r="E270" s="256"/>
    </row>
    <row r="271" spans="5:5">
      <c r="E271" s="256"/>
    </row>
    <row r="272" spans="5:5">
      <c r="E272" s="256"/>
    </row>
    <row r="273" spans="5:5">
      <c r="E273" s="256"/>
    </row>
    <row r="274" spans="5:5">
      <c r="E274" s="256"/>
    </row>
    <row r="275" spans="5:5">
      <c r="E275" s="256"/>
    </row>
    <row r="276" spans="5:5">
      <c r="E276" s="256"/>
    </row>
    <row r="277" spans="5:5">
      <c r="E277" s="256"/>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C2" sqref="C2:E2"/>
      <pageMargins left="0" right="0" top="0" bottom="0" header="0" footer="0"/>
      <pageSetup paperSize="9" orientation="portrait" r:id="rId3"/>
    </customSheetView>
    <customSheetView guid="{3F0A4FBA-5323-448F-A023-B3E14C54064C}" showGridLines="0" state="hidden">
      <pane xSplit="3" ySplit="5" topLeftCell="D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D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7">
    <dataValidation type="list" allowBlank="1" showInputMessage="1" showErrorMessage="1" sqref="D84:D88 D92:D99 D36:D37 D75:D80 D54:D63 D67:D71 D40:D50 D20:D21 D24:D25 D28:D29 D8 D10:D17 D32:D33" xr:uid="{7613AF97-1D36-4D0E-B5F9-8E2B5F4E4C55}">
      <formula1>Flow_units</formula1>
    </dataValidation>
    <dataValidation type="custom" allowBlank="1" showInputMessage="1" showErrorMessage="1" error="Please do not change this formula" prompt="Please do not change this formula" sqref="P1:R4 V1:V4 V107:V1048576 V20 V6:V18 N1:N8 O10 R6:R8 N18:N20 P5 N34:N36 N100:N1048576 N89:N91 N81:N83 N72:N74 N64:N66 N51:N53 N38:N40 K5 N26:N28 N22:N24 O6:O8 R5:V5 B5:I5 N30:N32 P11:P1048576 Q14:R1048576 V39:V102 V105" xr:uid="{21EDA894-B0FD-46CC-8835-A7E37748045E}">
      <formula1>"Please do not change this formula"</formula1>
    </dataValidation>
    <dataValidation type="custom" allowBlank="1" showInputMessage="1" showErrorMessage="1" error="Please do not change this formula" sqref="Q5" xr:uid="{2CA50E51-5177-4C64-A5EC-32869A0DAE80}">
      <formula1>"Please do not change this formula"</formula1>
    </dataValidation>
    <dataValidation type="custom" allowBlank="1" showInputMessage="1" showErrorMessage="1" error="Please do not change formula" sqref="O9 N21 N25 N29 N37 N41:N50 N54:N63 N67:N71 N75:N80 N84:N88 N92:N99 Q9:R13 N9:N17 N33" xr:uid="{13D910D9-61BA-4E6F-835D-8F30DB5BB71D}">
      <formula1>"Please do not change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92:T100 S18:S82 T30:T32 T26:T28 T34:T36 T38:T82 T18:T20 T22:T24 T37 T25 T29 T33" xr:uid="{D0D6EBEE-2057-49FE-A7F2-2E074406E24A}">
      <formula1>0</formula1>
    </dataValidation>
    <dataValidation type="custom" allowBlank="1" showInputMessage="1" showErrorMessage="1" error="Please do not change" sqref="V103 V104" xr:uid="{9222A4E7-559B-4AD1-B70D-BA6F8EAA4850}">
      <formula1>"Please do not change"</formula1>
    </dataValidation>
    <dataValidation type="decimal" operator="greaterThan" allowBlank="1" showInputMessage="1" showErrorMessage="1" sqref="T21" xr:uid="{CBD6326E-CD81-44C3-8C70-41CEDB362731}">
      <formula1>0</formula1>
    </dataValidation>
  </dataValidations>
  <hyperlinks>
    <hyperlink ref="I2:J2" location="'NG Transport'!A1" display="Go to the next step of this pathway" xr:uid="{FC6D9BDF-039A-467C-8246-6B83C749A142}"/>
    <hyperlink ref="I2:K2" location="GHG_ELECTROLYSIS!A1" display="Go to the next step of this pathway" xr:uid="{F2996663-D32E-4070-9B7D-D9400F754801}"/>
  </hyperlinks>
  <pageMargins left="0" right="0" top="0" bottom="0" header="0" footer="0"/>
  <pageSetup paperSize="9" orientation="portrait" r:id="rId10"/>
  <drawing r:id="rId11"/>
  <extLst>
    <ext xmlns:x14="http://schemas.microsoft.com/office/spreadsheetml/2009/9/main" uri="{78C0D931-6437-407d-A8EE-F0AAD7539E65}">
      <x14:conditionalFormattings>
        <x14:conditionalFormatting xmlns:xm="http://schemas.microsoft.com/office/excel/2006/main">
          <x14:cfRule type="expression" priority="21" id="{0F8AA911-8706-467E-AC03-7E93FE6FADBF}">
            <xm:f>AND(Path&lt;&gt;Units!$B$120, Path&lt;&gt;Units!$B$121, Path&lt;&gt;Units!$B$122, Path&lt;&gt;Units!$B$123,Path&lt;&gt;Units!$B$124,Path&lt;&gt;Units!$B$125,Master_Switch="On")</xm:f>
            <x14:dxf>
              <font>
                <color theme="0"/>
              </font>
              <fill>
                <patternFill>
                  <bgColor theme="0"/>
                </patternFill>
              </fill>
              <border>
                <left/>
                <right/>
                <top/>
                <bottom/>
                <vertical/>
                <horizontal/>
              </border>
            </x14:dxf>
          </x14:cfRule>
          <xm:sqref>A2:XFD103 A104:T109 W104:XFD204 U104:V205 A110:A204 F110:T204 B110:E205</xm:sqref>
        </x14:conditionalFormatting>
        <x14:conditionalFormatting xmlns:xm="http://schemas.microsoft.com/office/excel/2006/main">
          <x14:cfRule type="expression" priority="20" id="{9B49A6AB-C21D-4E75-8536-998F56F290BD}">
            <xm:f>AND(GHG_ELECTROLYSIS!$D$6="Default",Master_Switch="On")</xm:f>
            <x14:dxf>
              <font>
                <color theme="0"/>
              </font>
              <fill>
                <patternFill>
                  <bgColor theme="0"/>
                </patternFill>
              </fill>
              <border>
                <left/>
                <right/>
                <top/>
                <bottom/>
                <vertical/>
                <horizontal/>
              </border>
            </x14:dxf>
          </x14:cfRule>
          <xm:sqref>A21:XFD21</xm:sqref>
        </x14:conditionalFormatting>
        <x14:conditionalFormatting xmlns:xm="http://schemas.microsoft.com/office/excel/2006/main">
          <x14:cfRule type="expression" priority="19" id="{2DCA2039-993F-4248-8994-33C9D4CAC45A}">
            <xm:f>AND(GHG_ELECTROLYSIS!$D$23="Default",Master_Switch="On")</xm:f>
            <x14:dxf>
              <font>
                <color theme="0"/>
              </font>
              <fill>
                <patternFill>
                  <bgColor theme="0"/>
                </patternFill>
              </fill>
              <border>
                <left/>
                <right/>
                <top/>
                <bottom/>
                <vertical/>
                <horizontal/>
              </border>
            </x14:dxf>
          </x14:cfRule>
          <xm:sqref>A25:XFD25</xm:sqref>
        </x14:conditionalFormatting>
        <x14:conditionalFormatting xmlns:xm="http://schemas.microsoft.com/office/excel/2006/main">
          <x14:cfRule type="expression" priority="18" id="{E2A40422-FBC5-4FDA-AFE7-FB86F43663DB}">
            <xm:f>AND(GHG_ELECTROLYSIS!$D$40="Default",Master_Switch="On")</xm:f>
            <x14:dxf>
              <font>
                <color theme="0"/>
              </font>
              <fill>
                <patternFill>
                  <bgColor theme="0"/>
                </patternFill>
              </fill>
              <border>
                <left/>
                <right/>
                <top/>
                <bottom/>
                <vertical/>
                <horizontal/>
              </border>
            </x14:dxf>
          </x14:cfRule>
          <xm:sqref>A29:XFD29</xm:sqref>
        </x14:conditionalFormatting>
        <x14:conditionalFormatting xmlns:xm="http://schemas.microsoft.com/office/excel/2006/main">
          <x14:cfRule type="expression" priority="1" id="{379730FB-6DBE-4BB3-A264-930BD6087ECE}">
            <xm:f>AND(GHG_ELECTROLYSIS!$D$57="Default",Master_Switch="On")</xm:f>
            <x14:dxf>
              <font>
                <color theme="0"/>
              </font>
              <fill>
                <patternFill>
                  <fgColor theme="0"/>
                </patternFill>
              </fill>
            </x14:dxf>
          </x14:cfRule>
          <xm:sqref>A33:XFD33</xm:sqref>
        </x14:conditionalFormatting>
        <x14:conditionalFormatting xmlns:xm="http://schemas.microsoft.com/office/excel/2006/main">
          <x14:cfRule type="expression" priority="17" id="{9EC676D4-F62C-41AF-B463-2E329CAFB792}">
            <xm:f>AND(GHG_ELECTROLYSIS!$D$74="Default",Master_Switch="On")</xm:f>
            <x14:dxf>
              <font>
                <color theme="0"/>
              </font>
              <fill>
                <patternFill>
                  <bgColor theme="0"/>
                </patternFill>
              </fill>
              <border>
                <left/>
                <right/>
                <top/>
                <bottom/>
                <vertical/>
                <horizontal/>
              </border>
            </x14:dxf>
          </x14:cfRule>
          <xm:sqref>A37:XFD37</xm:sqref>
        </x14:conditionalFormatting>
        <x14:conditionalFormatting xmlns:xm="http://schemas.microsoft.com/office/excel/2006/main">
          <x14:cfRule type="expression" priority="244" id="{8CAE66F9-DEDC-4DD0-BCCE-93CDBA99B611}">
            <xm:f>AND(OR(GHG_ELECTROLYSIS!$D$6="Default",GHG_ELECTROLYSIS!$D$23="Default", GHG_ELECTROLYSIS!$D$40="Default",GHG_ELECTROLYSIS!$D$74="Default"),Master_Switch="On")</xm:f>
            <x14:dxf>
              <font>
                <color theme="0"/>
              </font>
              <fill>
                <patternFill>
                  <bgColor theme="0"/>
                </patternFill>
              </fill>
              <border>
                <left/>
                <right/>
                <top/>
                <bottom/>
                <vertical/>
                <horizontal/>
              </border>
            </x14:dxf>
          </x14:cfRule>
          <xm:sqref>A41:XFD50</xm:sqref>
        </x14:conditionalFormatting>
        <x14:conditionalFormatting xmlns:xm="http://schemas.microsoft.com/office/excel/2006/main">
          <x14:cfRule type="expression" priority="245" id="{2639AB12-041F-41B3-B285-017DB1F2FE3C}">
            <xm:f>AND(OR(GHG_ELECTROLYSIS!$D$7="Default",GHG_ELECTROLYSIS!$D$24="Default",GHG_ELECTROLYSIS!$D$41="Default",GHG_ELECTROLYSIS!$D$75="Default"),Master_Switch="On")</xm:f>
            <x14:dxf>
              <font>
                <color theme="0"/>
              </font>
              <fill>
                <patternFill>
                  <bgColor theme="0"/>
                </patternFill>
              </fill>
              <border>
                <left/>
                <right/>
                <top/>
                <bottom/>
                <vertical/>
                <horizontal/>
              </border>
            </x14:dxf>
          </x14:cfRule>
          <xm:sqref>A54:XFD63</xm:sqref>
        </x14:conditionalFormatting>
        <x14:conditionalFormatting xmlns:xm="http://schemas.microsoft.com/office/excel/2006/main">
          <x14:cfRule type="expression" priority="2" id="{07DBBB8B-C167-42C2-9549-C0F436D541A1}">
            <xm:f>AND(GHG_ELECTROLYSIS!$D$40="Default",Master_Switch="On")</xm:f>
            <x14:dxf>
              <font>
                <color theme="0"/>
              </font>
              <fill>
                <patternFill>
                  <bgColor theme="0"/>
                </patternFill>
              </fill>
              <border>
                <left/>
                <right/>
                <top/>
                <bottom/>
                <vertical/>
                <horizontal/>
              </border>
            </x14:dxf>
          </x14:cfRule>
          <xm:sqref>B33:X33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7BD2AD3-B6A0-467D-9DB8-C25A7C6A73B2}">
          <x14:formula1>
            <xm:f>Units!$Z$120</xm:f>
          </x14:formula1>
          <xm:sqref>D9</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0">
    <tabColor theme="5"/>
  </sheetPr>
  <dimension ref="A1:AC190"/>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55"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20.453125" customWidth="1"/>
    <col min="16" max="16" width="8" customWidth="1"/>
    <col min="17" max="17" width="18.81640625" style="12" customWidth="1"/>
    <col min="18" max="18" width="17.54296875" style="12" customWidth="1"/>
    <col min="19" max="20" width="20.7265625" style="13" customWidth="1"/>
    <col min="21" max="21" width="22.7265625" style="13" customWidth="1"/>
    <col min="22" max="22" width="20.26953125" style="39" customWidth="1"/>
    <col min="23" max="23" width="7.1796875" style="12" customWidth="1"/>
    <col min="24" max="24" width="26" style="12" customWidth="1"/>
    <col min="26" max="16384" width="7.1796875" style="12"/>
  </cols>
  <sheetData>
    <row r="1" spans="1:29" ht="31.9" customHeight="1">
      <c r="A1" s="80" t="str">
        <f>IF(AND(Path&lt;&gt;Units!$B$126,Path&lt;&gt;Units!$B$127,Path&lt;&gt;Units!$B$128,Path&lt;&gt;Units!$B$129, Master_Switch="On"),"User should not fill in this sheet, but switch to other non-blank GHG worksheets","")</f>
        <v>User should not fill in this sheet, but switch to other non-blank GHG worksheets</v>
      </c>
      <c r="C1" s="80"/>
      <c r="E1" s="256"/>
    </row>
    <row r="2" spans="1:29" ht="20.5" customHeight="1">
      <c r="B2" s="80" t="str">
        <f>IF(OR(AND(Initial_questions!$E$73=Units!$H$120,GHG_NG_REFORM_CCS!$D$3="Default",Master_Switch="On"),AND(Initial_questions!$E$73=Units!$H$120,GHG_NG_SPLITTING!$D$3="Default",Master_Switch="On")), "NSTA data used, move to the next step of the pathway","")</f>
        <v/>
      </c>
      <c r="E2" s="256"/>
      <c r="I2" s="729" t="s">
        <v>1093</v>
      </c>
      <c r="J2" s="731"/>
      <c r="K2" s="732"/>
      <c r="L2" s="39"/>
      <c r="M2" s="39"/>
    </row>
    <row r="3" spans="1:29" ht="15" customHeight="1">
      <c r="E3" s="256"/>
    </row>
    <row r="4" spans="1:29" ht="15.65" customHeight="1" thickBot="1">
      <c r="A4" s="19"/>
      <c r="B4" s="3"/>
      <c r="C4" s="3"/>
      <c r="D4" s="3"/>
      <c r="E4" s="455"/>
      <c r="F4" s="3"/>
      <c r="G4" s="3"/>
      <c r="H4" s="1"/>
      <c r="I4" s="1"/>
      <c r="J4" s="1"/>
      <c r="K4" s="1"/>
      <c r="L4" s="1"/>
      <c r="M4" s="1"/>
      <c r="N4" s="37"/>
      <c r="O4" s="1"/>
      <c r="P4" s="1"/>
      <c r="Q4" s="3"/>
      <c r="R4" s="3"/>
      <c r="S4" s="1"/>
      <c r="T4" s="1"/>
      <c r="U4" s="1"/>
      <c r="V4" s="37"/>
      <c r="W4" s="37"/>
      <c r="X4" s="3"/>
    </row>
    <row r="5" spans="1:29" ht="94.15" customHeight="1" thickTop="1" thickBot="1">
      <c r="B5" s="11" t="s">
        <v>984</v>
      </c>
      <c r="C5" s="11" t="s">
        <v>985</v>
      </c>
      <c r="D5" s="11" t="s">
        <v>36</v>
      </c>
      <c r="E5" s="458" t="s">
        <v>771</v>
      </c>
      <c r="F5" s="11" t="s">
        <v>1094</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9" ht="15" thickTop="1">
      <c r="E6" s="457"/>
      <c r="Q6"/>
      <c r="R6"/>
      <c r="S6"/>
      <c r="T6"/>
      <c r="U6"/>
      <c r="V6"/>
    </row>
    <row r="7" spans="1:29">
      <c r="B7" s="145" t="s">
        <v>1097</v>
      </c>
      <c r="C7" s="145"/>
      <c r="D7" s="145"/>
      <c r="E7" s="324"/>
      <c r="F7" s="145"/>
      <c r="G7" s="145"/>
      <c r="H7" s="145"/>
      <c r="I7" s="145"/>
      <c r="J7" s="145"/>
      <c r="K7" s="145"/>
      <c r="L7" s="145"/>
      <c r="M7" s="145"/>
      <c r="N7" s="301"/>
      <c r="Q7"/>
      <c r="R7"/>
      <c r="S7"/>
      <c r="T7"/>
      <c r="U7"/>
      <c r="V7"/>
      <c r="W7" s="19"/>
      <c r="X7" s="19"/>
      <c r="Y7" s="19"/>
      <c r="Z7" s="19"/>
      <c r="AA7" s="19"/>
      <c r="AB7" s="19"/>
      <c r="AC7" s="19"/>
    </row>
    <row r="8" spans="1:29">
      <c r="B8" s="186" t="s">
        <v>1021</v>
      </c>
      <c r="C8" s="184" t="s">
        <v>1098</v>
      </c>
      <c r="D8" s="179" t="s">
        <v>479</v>
      </c>
      <c r="E8" s="306"/>
      <c r="F8" s="21"/>
      <c r="G8" s="21"/>
      <c r="H8" s="20"/>
      <c r="I8" s="463"/>
      <c r="J8" s="302"/>
      <c r="K8" s="302"/>
      <c r="L8" s="302"/>
      <c r="M8" s="302"/>
      <c r="N8" s="242">
        <f t="shared" ref="N8:N17" si="0">IF($D8="MWh/yr (LHV)",$E8,$J8*$E8*(1-$L8)/Conversion_kWh_to_MJ)</f>
        <v>0</v>
      </c>
      <c r="O8" s="12"/>
      <c r="P8" s="12"/>
      <c r="S8" s="300" t="str">
        <f t="shared" ref="S8:S17" si="1">IF(B8="", "", IF(D8="MWh/yr (LHV)", "Use column to right", "Enter data here"))</f>
        <v>Use column to right</v>
      </c>
      <c r="T8" s="300" t="e">
        <f>INDEX(Proj_grid_intensity_kWh,MATCH(Operations_year,Proj_grid_year,0))/Conversion_kWh_to_MJ</f>
        <v>#N/A</v>
      </c>
      <c r="U8" s="35" t="s">
        <v>1064</v>
      </c>
      <c r="V8" s="242" t="str">
        <f>IFERROR(IF(D8="tonnes/yr", $S8*$E8/($N$20*3.6), $T8*$E8*3.6/($N$20*3.6)), "Unfilled fields to left")</f>
        <v>Unfilled fields to left</v>
      </c>
      <c r="X8" s="25"/>
      <c r="Y8" s="12"/>
    </row>
    <row r="9" spans="1:29">
      <c r="B9" s="186" t="s">
        <v>1021</v>
      </c>
      <c r="C9" s="184" t="s">
        <v>1099</v>
      </c>
      <c r="D9" s="179" t="s">
        <v>479</v>
      </c>
      <c r="E9" s="306"/>
      <c r="F9" s="21"/>
      <c r="G9" s="21"/>
      <c r="H9" s="20"/>
      <c r="I9" s="463"/>
      <c r="J9" s="302"/>
      <c r="K9" s="302"/>
      <c r="L9" s="302"/>
      <c r="M9" s="302"/>
      <c r="N9" s="242">
        <f t="shared" si="0"/>
        <v>0</v>
      </c>
      <c r="O9" s="12"/>
      <c r="P9" s="12"/>
      <c r="S9" s="300" t="str">
        <f t="shared" si="1"/>
        <v>Use column to right</v>
      </c>
      <c r="T9" s="300" t="str">
        <f t="shared" ref="T9:T17" si="2">IF(B9="", "", IF(D9="MWh/yr (LHV)", "Enter data here", "Use column to left"))</f>
        <v>Enter data here</v>
      </c>
      <c r="U9" s="35" t="s">
        <v>1100</v>
      </c>
      <c r="V9" s="242" t="str">
        <f t="shared" ref="V9:V17" si="3">IFERROR(IF(D9="tonnes/yr", $S9*$E9/($N$20*3.6), $T9*$E9*3.6/($N$20*3.6)), "Unfilled fields to left")</f>
        <v>Unfilled fields to left</v>
      </c>
      <c r="X9" s="25"/>
      <c r="Y9" s="12"/>
    </row>
    <row r="10" spans="1:29">
      <c r="B10" s="186" t="s">
        <v>1042</v>
      </c>
      <c r="C10" s="184" t="s">
        <v>1043</v>
      </c>
      <c r="D10" s="179" t="s">
        <v>459</v>
      </c>
      <c r="E10" s="306"/>
      <c r="F10" s="21"/>
      <c r="G10" s="21"/>
      <c r="H10" s="20"/>
      <c r="I10" s="463"/>
      <c r="J10" s="302"/>
      <c r="K10" s="302"/>
      <c r="L10" s="302"/>
      <c r="M10" s="302"/>
      <c r="N10" s="242">
        <f t="shared" si="0"/>
        <v>0</v>
      </c>
      <c r="O10" s="12"/>
      <c r="P10" s="12"/>
      <c r="S10" s="300" t="str">
        <f t="shared" si="1"/>
        <v>Enter data here</v>
      </c>
      <c r="T10" s="300" t="str">
        <f t="shared" si="2"/>
        <v>Use column to left</v>
      </c>
      <c r="U10" s="35" t="s">
        <v>1100</v>
      </c>
      <c r="V10" s="242" t="str">
        <f t="shared" si="3"/>
        <v>Unfilled fields to left</v>
      </c>
      <c r="X10" s="25"/>
      <c r="Y10" s="12"/>
    </row>
    <row r="11" spans="1:29">
      <c r="B11" s="186" t="s">
        <v>1042</v>
      </c>
      <c r="C11" s="184" t="s">
        <v>1045</v>
      </c>
      <c r="D11" s="179" t="s">
        <v>459</v>
      </c>
      <c r="E11" s="306"/>
      <c r="F11" s="21"/>
      <c r="G11" s="21"/>
      <c r="H11" s="20"/>
      <c r="I11" s="463"/>
      <c r="J11" s="302"/>
      <c r="K11" s="302"/>
      <c r="L11" s="302"/>
      <c r="M11" s="302"/>
      <c r="N11" s="242">
        <f t="shared" si="0"/>
        <v>0</v>
      </c>
      <c r="O11" s="12"/>
      <c r="P11" s="12"/>
      <c r="S11" s="300" t="str">
        <f t="shared" si="1"/>
        <v>Enter data here</v>
      </c>
      <c r="T11" s="300" t="str">
        <f t="shared" si="2"/>
        <v>Use column to left</v>
      </c>
      <c r="U11" s="35" t="s">
        <v>1100</v>
      </c>
      <c r="V11" s="242" t="str">
        <f t="shared" si="3"/>
        <v>Unfilled fields to left</v>
      </c>
      <c r="X11" s="25"/>
      <c r="Y11" s="12"/>
    </row>
    <row r="12" spans="1:29">
      <c r="B12" s="186" t="s">
        <v>1051</v>
      </c>
      <c r="C12" s="184" t="s">
        <v>1010</v>
      </c>
      <c r="D12" s="179" t="s">
        <v>459</v>
      </c>
      <c r="E12" s="306"/>
      <c r="F12" s="21"/>
      <c r="G12" s="21"/>
      <c r="H12" s="20"/>
      <c r="I12" s="463"/>
      <c r="J12" s="302"/>
      <c r="K12" s="302"/>
      <c r="L12" s="302"/>
      <c r="M12" s="302"/>
      <c r="N12" s="242">
        <f t="shared" si="0"/>
        <v>0</v>
      </c>
      <c r="O12" s="12"/>
      <c r="P12" s="12"/>
      <c r="S12" s="300" t="str">
        <f t="shared" si="1"/>
        <v>Enter data here</v>
      </c>
      <c r="T12" s="300" t="str">
        <f t="shared" si="2"/>
        <v>Use column to left</v>
      </c>
      <c r="U12" s="35" t="s">
        <v>1100</v>
      </c>
      <c r="V12" s="242" t="str">
        <f t="shared" si="3"/>
        <v>Unfilled fields to left</v>
      </c>
      <c r="X12" s="25"/>
      <c r="Y12" s="12"/>
    </row>
    <row r="13" spans="1:29">
      <c r="B13" s="186" t="s">
        <v>1051</v>
      </c>
      <c r="C13" s="184" t="s">
        <v>1101</v>
      </c>
      <c r="D13" s="179" t="s">
        <v>459</v>
      </c>
      <c r="E13" s="306"/>
      <c r="F13" s="21"/>
      <c r="G13" s="21"/>
      <c r="H13" s="20"/>
      <c r="I13" s="463"/>
      <c r="J13" s="302"/>
      <c r="K13" s="302"/>
      <c r="L13" s="302"/>
      <c r="M13" s="302"/>
      <c r="N13" s="242">
        <f t="shared" si="0"/>
        <v>0</v>
      </c>
      <c r="O13" s="12"/>
      <c r="P13" s="12"/>
      <c r="S13" s="300" t="str">
        <f t="shared" si="1"/>
        <v>Enter data here</v>
      </c>
      <c r="T13" s="300" t="str">
        <f t="shared" si="2"/>
        <v>Use column to left</v>
      </c>
      <c r="U13" s="35" t="s">
        <v>1100</v>
      </c>
      <c r="V13" s="242" t="str">
        <f t="shared" si="3"/>
        <v>Unfilled fields to left</v>
      </c>
      <c r="X13" s="25"/>
      <c r="Y13" s="12"/>
    </row>
    <row r="14" spans="1:29">
      <c r="B14" s="186" t="s">
        <v>1102</v>
      </c>
      <c r="C14" s="184" t="s">
        <v>1055</v>
      </c>
      <c r="D14" s="179" t="s">
        <v>459</v>
      </c>
      <c r="E14" s="306"/>
      <c r="F14" s="21"/>
      <c r="G14" s="21"/>
      <c r="H14" s="20"/>
      <c r="I14" s="463"/>
      <c r="J14" s="302"/>
      <c r="K14" s="302"/>
      <c r="L14" s="302"/>
      <c r="M14" s="302"/>
      <c r="N14" s="242">
        <f t="shared" si="0"/>
        <v>0</v>
      </c>
      <c r="O14" s="12"/>
      <c r="P14" s="12"/>
      <c r="S14" s="300" t="str">
        <f t="shared" si="1"/>
        <v>Enter data here</v>
      </c>
      <c r="T14" s="300" t="str">
        <f t="shared" si="2"/>
        <v>Use column to left</v>
      </c>
      <c r="U14" s="35" t="s">
        <v>1100</v>
      </c>
      <c r="V14" s="242" t="str">
        <f t="shared" si="3"/>
        <v>Unfilled fields to left</v>
      </c>
      <c r="X14" s="25"/>
      <c r="Y14" s="12"/>
    </row>
    <row r="15" spans="1:29">
      <c r="B15" s="186" t="s">
        <v>1102</v>
      </c>
      <c r="C15" s="184"/>
      <c r="D15" s="179"/>
      <c r="E15" s="306"/>
      <c r="F15" s="21"/>
      <c r="G15" s="21"/>
      <c r="H15" s="20"/>
      <c r="I15" s="463"/>
      <c r="J15" s="302"/>
      <c r="K15" s="302"/>
      <c r="L15" s="302"/>
      <c r="M15" s="302"/>
      <c r="N15" s="242">
        <f t="shared" si="0"/>
        <v>0</v>
      </c>
      <c r="O15" s="12"/>
      <c r="P15" s="12"/>
      <c r="S15" s="300" t="str">
        <f t="shared" si="1"/>
        <v>Enter data here</v>
      </c>
      <c r="T15" s="300" t="str">
        <f t="shared" si="2"/>
        <v>Use column to left</v>
      </c>
      <c r="U15" s="35" t="s">
        <v>1100</v>
      </c>
      <c r="V15" s="242" t="str">
        <f t="shared" si="3"/>
        <v>Unfilled fields to left</v>
      </c>
      <c r="X15" s="25"/>
      <c r="Y15" s="12"/>
    </row>
    <row r="16" spans="1:29">
      <c r="B16" s="186"/>
      <c r="C16" s="184"/>
      <c r="D16" s="179"/>
      <c r="E16" s="306"/>
      <c r="F16" s="21"/>
      <c r="G16" s="21"/>
      <c r="H16" s="20"/>
      <c r="I16" s="463"/>
      <c r="J16" s="302"/>
      <c r="K16" s="302"/>
      <c r="L16" s="302"/>
      <c r="M16" s="302"/>
      <c r="N16" s="242">
        <f t="shared" si="0"/>
        <v>0</v>
      </c>
      <c r="O16" s="12"/>
      <c r="P16" s="12"/>
      <c r="S16" s="300" t="str">
        <f t="shared" si="1"/>
        <v/>
      </c>
      <c r="T16" s="300" t="str">
        <f t="shared" si="2"/>
        <v/>
      </c>
      <c r="U16" s="35"/>
      <c r="V16" s="242" t="str">
        <f t="shared" si="3"/>
        <v>Unfilled fields to left</v>
      </c>
      <c r="X16" s="25"/>
      <c r="Y16" s="12"/>
    </row>
    <row r="17" spans="2:29">
      <c r="B17" s="16"/>
      <c r="C17" s="15"/>
      <c r="D17" s="179"/>
      <c r="E17" s="306"/>
      <c r="F17" s="21"/>
      <c r="G17" s="21"/>
      <c r="H17" s="20"/>
      <c r="I17" s="463"/>
      <c r="J17" s="302"/>
      <c r="K17" s="302"/>
      <c r="L17" s="302"/>
      <c r="M17" s="302"/>
      <c r="N17" s="242">
        <f t="shared" si="0"/>
        <v>0</v>
      </c>
      <c r="O17" s="12"/>
      <c r="P17" s="12"/>
      <c r="S17" s="300" t="str">
        <f t="shared" si="1"/>
        <v/>
      </c>
      <c r="T17" s="300" t="str">
        <f t="shared" si="2"/>
        <v/>
      </c>
      <c r="U17" s="35"/>
      <c r="V17" s="242" t="str">
        <f t="shared" si="3"/>
        <v>Unfilled fields to left</v>
      </c>
      <c r="X17" s="25"/>
      <c r="Y17" s="12"/>
    </row>
    <row r="18" spans="2:29">
      <c r="C18" s="17"/>
      <c r="D18" s="17"/>
      <c r="E18" s="506"/>
      <c r="F18" s="26"/>
      <c r="G18" s="26"/>
      <c r="H18" s="22"/>
      <c r="I18" s="22"/>
      <c r="J18" s="41"/>
      <c r="K18" s="41"/>
      <c r="L18" s="41"/>
      <c r="M18" s="41"/>
      <c r="N18" s="41"/>
      <c r="S18" s="41"/>
      <c r="T18" s="41"/>
      <c r="U18" s="41"/>
      <c r="V18" s="41"/>
      <c r="X18" s="27"/>
      <c r="Y18" s="12"/>
    </row>
    <row r="19" spans="2:29">
      <c r="B19" s="145" t="s">
        <v>1103</v>
      </c>
      <c r="C19" s="145"/>
      <c r="D19" s="145"/>
      <c r="E19" s="493"/>
      <c r="F19" s="464"/>
      <c r="G19" s="464"/>
      <c r="H19" s="464"/>
      <c r="I19" s="464"/>
      <c r="J19" s="493"/>
      <c r="K19" s="493"/>
      <c r="L19" s="301"/>
      <c r="M19" s="301"/>
      <c r="N19" s="301"/>
      <c r="Q19"/>
      <c r="R19"/>
      <c r="S19" s="40"/>
      <c r="T19" s="40"/>
      <c r="U19" s="40"/>
      <c r="V19" s="40"/>
      <c r="W19" s="19"/>
      <c r="X19" s="19"/>
      <c r="Y19" s="19"/>
      <c r="Z19" s="19"/>
      <c r="AA19" s="19"/>
      <c r="AB19" s="19"/>
      <c r="AC19" s="19"/>
    </row>
    <row r="20" spans="2:29">
      <c r="B20" s="16" t="s">
        <v>1104</v>
      </c>
      <c r="C20" s="184" t="s">
        <v>1105</v>
      </c>
      <c r="D20" s="179" t="s">
        <v>479</v>
      </c>
      <c r="E20" s="306"/>
      <c r="F20" s="21"/>
      <c r="G20" s="21"/>
      <c r="H20" s="21"/>
      <c r="I20" s="21"/>
      <c r="J20" s="302"/>
      <c r="K20" s="306"/>
      <c r="L20" s="306"/>
      <c r="M20" s="306"/>
      <c r="N20" s="242">
        <f t="shared" ref="N20:N32" si="4">IF($D20="MWh/yr (LHV)",$E20,$J20*$E20*(1-$L20)/Conversion_kWh_to_MJ)</f>
        <v>0</v>
      </c>
      <c r="O20" s="246" t="s">
        <v>868</v>
      </c>
      <c r="Q20" s="515">
        <f>IF($D20="MWh/yr (LHV)",$E20,$E20*MAX(0, $J20*(1-$L20)-2.441*$L20)/Conversion_kWh_to_MJ)</f>
        <v>0</v>
      </c>
      <c r="R20" s="245" t="str">
        <f>IFERROR(Q20/(SUM($Q$20:$Q$22)),"")</f>
        <v/>
      </c>
      <c r="S20" s="42"/>
      <c r="T20" s="42"/>
      <c r="U20" s="42"/>
      <c r="V20" s="42"/>
      <c r="X20" s="21"/>
      <c r="Y20" s="12"/>
    </row>
    <row r="21" spans="2:29" s="14" customFormat="1">
      <c r="B21" s="186" t="s">
        <v>1008</v>
      </c>
      <c r="C21" s="184" t="s">
        <v>1106</v>
      </c>
      <c r="D21" s="179" t="s">
        <v>459</v>
      </c>
      <c r="E21" s="306"/>
      <c r="F21" s="21"/>
      <c r="G21" s="21"/>
      <c r="H21" s="20"/>
      <c r="I21" s="20"/>
      <c r="J21" s="302"/>
      <c r="K21" s="302"/>
      <c r="L21" s="302"/>
      <c r="M21" s="302"/>
      <c r="N21" s="242">
        <f t="shared" si="4"/>
        <v>0</v>
      </c>
      <c r="O21" s="12"/>
      <c r="P21" s="12"/>
      <c r="Q21" s="515">
        <f>IF($D21="MWh/yr (LHV)",$E21,$E21*MAX(0, $J21*(1-$L21)-2.441*$L21)/Conversion_kWh_to_MJ)</f>
        <v>0</v>
      </c>
      <c r="R21" s="245" t="str">
        <f t="shared" ref="R21:R22" si="5">IFERROR(Q21/(SUM($Q$20:$Q$22)),"")</f>
        <v/>
      </c>
      <c r="S21" s="42"/>
      <c r="T21" s="42"/>
      <c r="U21" s="107"/>
      <c r="V21" s="12"/>
      <c r="W21" s="23"/>
      <c r="X21" s="21"/>
      <c r="Y21" s="23"/>
      <c r="Z21" s="42"/>
      <c r="AB21" s="12"/>
    </row>
    <row r="22" spans="2:29" s="14" customFormat="1">
      <c r="B22" s="186" t="s">
        <v>1008</v>
      </c>
      <c r="C22" s="184" t="s">
        <v>1107</v>
      </c>
      <c r="D22" s="179" t="s">
        <v>459</v>
      </c>
      <c r="E22" s="306"/>
      <c r="F22" s="21"/>
      <c r="G22" s="21"/>
      <c r="H22" s="20"/>
      <c r="I22" s="20"/>
      <c r="J22" s="302"/>
      <c r="K22" s="302"/>
      <c r="L22" s="302"/>
      <c r="M22" s="302"/>
      <c r="N22" s="242">
        <f t="shared" si="4"/>
        <v>0</v>
      </c>
      <c r="O22" s="12"/>
      <c r="P22" s="12"/>
      <c r="Q22" s="515">
        <f>IF($D22="MWh/yr (LHV)",$E22,$E22*MAX(0, $J22*(1-$L22)-2.441*$L22)/Conversion_kWh_to_MJ)</f>
        <v>0</v>
      </c>
      <c r="R22" s="245" t="str">
        <f t="shared" si="5"/>
        <v/>
      </c>
      <c r="S22" s="42"/>
      <c r="T22" s="42"/>
      <c r="U22" s="107"/>
      <c r="V22" s="12"/>
      <c r="W22" s="23"/>
      <c r="X22" s="21"/>
      <c r="Y22" s="23"/>
      <c r="Z22" s="42"/>
      <c r="AB22" s="12"/>
    </row>
    <row r="23" spans="2:29" s="14" customFormat="1">
      <c r="B23" s="186" t="s">
        <v>1013</v>
      </c>
      <c r="C23" s="184" t="s">
        <v>1108</v>
      </c>
      <c r="D23" s="179" t="s">
        <v>459</v>
      </c>
      <c r="E23" s="306"/>
      <c r="F23" s="21"/>
      <c r="G23" s="21"/>
      <c r="H23" s="20"/>
      <c r="I23" s="20"/>
      <c r="J23" s="302"/>
      <c r="K23" s="302"/>
      <c r="L23" s="302"/>
      <c r="M23" s="302"/>
      <c r="N23" s="242">
        <f t="shared" si="4"/>
        <v>0</v>
      </c>
      <c r="O23" s="12"/>
      <c r="P23" s="12"/>
      <c r="Q23" s="12"/>
      <c r="R23" s="12"/>
      <c r="S23" s="107"/>
      <c r="T23" s="107"/>
      <c r="U23" s="107"/>
      <c r="V23" s="12"/>
      <c r="W23" s="23"/>
      <c r="X23" s="21"/>
      <c r="Y23" s="23"/>
      <c r="Z23" s="42"/>
      <c r="AB23" s="12"/>
    </row>
    <row r="24" spans="2:29" s="14" customFormat="1">
      <c r="B24" s="186" t="s">
        <v>1013</v>
      </c>
      <c r="C24" s="184" t="s">
        <v>1015</v>
      </c>
      <c r="D24" s="179" t="s">
        <v>459</v>
      </c>
      <c r="E24" s="306"/>
      <c r="F24" s="21"/>
      <c r="G24" s="21"/>
      <c r="H24" s="20"/>
      <c r="I24" s="20"/>
      <c r="J24" s="302"/>
      <c r="K24" s="302"/>
      <c r="L24" s="302"/>
      <c r="M24" s="302"/>
      <c r="N24" s="242">
        <f t="shared" si="4"/>
        <v>0</v>
      </c>
      <c r="O24" s="12"/>
      <c r="P24" s="12"/>
      <c r="Q24" s="12"/>
      <c r="R24" s="12"/>
      <c r="S24" s="107"/>
      <c r="T24" s="107"/>
      <c r="U24" s="107"/>
      <c r="V24" s="12"/>
      <c r="W24" s="23"/>
      <c r="X24" s="21"/>
      <c r="Y24" s="23"/>
      <c r="Z24" s="42"/>
      <c r="AB24" s="12"/>
    </row>
    <row r="25" spans="2:29" s="14" customFormat="1">
      <c r="B25" s="186" t="s">
        <v>1016</v>
      </c>
      <c r="C25" s="184" t="s">
        <v>1017</v>
      </c>
      <c r="D25" s="179" t="s">
        <v>459</v>
      </c>
      <c r="E25" s="306"/>
      <c r="F25" s="21"/>
      <c r="G25" s="21"/>
      <c r="H25" s="20"/>
      <c r="I25" s="463"/>
      <c r="J25" s="302"/>
      <c r="K25" s="302"/>
      <c r="L25" s="302"/>
      <c r="M25" s="302"/>
      <c r="N25" s="242">
        <f t="shared" si="4"/>
        <v>0</v>
      </c>
      <c r="O25" s="12"/>
      <c r="P25" s="12"/>
      <c r="Q25" s="12"/>
      <c r="R25" s="12"/>
      <c r="S25" s="107"/>
      <c r="T25" s="107"/>
      <c r="U25" s="107"/>
      <c r="V25" s="12"/>
      <c r="X25" s="21"/>
    </row>
    <row r="26" spans="2:29" s="14" customFormat="1">
      <c r="B26" s="186" t="s">
        <v>1016</v>
      </c>
      <c r="C26" s="184" t="s">
        <v>1018</v>
      </c>
      <c r="D26" s="179" t="s">
        <v>459</v>
      </c>
      <c r="E26" s="306"/>
      <c r="F26" s="21"/>
      <c r="G26" s="21"/>
      <c r="H26" s="20"/>
      <c r="I26" s="463"/>
      <c r="J26" s="302"/>
      <c r="K26" s="302"/>
      <c r="L26" s="302"/>
      <c r="M26" s="302"/>
      <c r="N26" s="242">
        <f t="shared" si="4"/>
        <v>0</v>
      </c>
      <c r="O26" s="12"/>
      <c r="P26" s="12"/>
      <c r="Q26" s="12"/>
      <c r="R26" s="12"/>
      <c r="S26" s="107"/>
      <c r="T26" s="107"/>
      <c r="U26" s="107"/>
      <c r="V26" s="12"/>
      <c r="X26" s="21"/>
    </row>
    <row r="27" spans="2:29" s="14" customFormat="1">
      <c r="B27" s="186" t="s">
        <v>1057</v>
      </c>
      <c r="C27" s="184" t="s">
        <v>1109</v>
      </c>
      <c r="D27" s="179" t="s">
        <v>459</v>
      </c>
      <c r="E27" s="306"/>
      <c r="F27" s="465"/>
      <c r="G27" s="21"/>
      <c r="H27" s="20"/>
      <c r="I27" s="463"/>
      <c r="J27" s="302"/>
      <c r="K27" s="302"/>
      <c r="L27" s="302"/>
      <c r="M27" s="302"/>
      <c r="N27" s="242">
        <f t="shared" si="4"/>
        <v>0</v>
      </c>
      <c r="O27" s="12"/>
      <c r="P27" s="12"/>
      <c r="Q27" s="12"/>
      <c r="R27" s="12"/>
      <c r="S27" s="528">
        <f>1*1000</f>
        <v>1000</v>
      </c>
      <c r="T27" s="477"/>
      <c r="U27" s="530" t="s">
        <v>1110</v>
      </c>
      <c r="V27" s="242" t="str">
        <f t="shared" ref="V27:V32" si="6">IFERROR(IF(D27="tonnes/yr", $S27*$E27/($N$20*3.6), $T27*$E27*3.6/($N$20*3.6)), "Unfilled fields to left")</f>
        <v>Unfilled fields to left</v>
      </c>
      <c r="X27" s="21"/>
    </row>
    <row r="28" spans="2:29" s="14" customFormat="1">
      <c r="B28" s="186" t="s">
        <v>1070</v>
      </c>
      <c r="C28" s="184" t="s">
        <v>1111</v>
      </c>
      <c r="D28" s="179" t="s">
        <v>459</v>
      </c>
      <c r="E28" s="35">
        <f>E27*E37</f>
        <v>0</v>
      </c>
      <c r="F28" s="465"/>
      <c r="G28" s="21"/>
      <c r="H28" s="20"/>
      <c r="I28" s="463"/>
      <c r="J28" s="302"/>
      <c r="K28" s="302"/>
      <c r="L28" s="302"/>
      <c r="M28" s="302"/>
      <c r="N28" s="242">
        <f t="shared" si="4"/>
        <v>0</v>
      </c>
      <c r="O28" s="12"/>
      <c r="P28" s="12"/>
      <c r="Q28" s="12"/>
      <c r="R28" s="12"/>
      <c r="S28" s="528">
        <v>-1000</v>
      </c>
      <c r="T28" s="477"/>
      <c r="U28" s="530" t="s">
        <v>1112</v>
      </c>
      <c r="V28" s="242" t="str">
        <f t="shared" si="6"/>
        <v>Unfilled fields to left</v>
      </c>
      <c r="X28" s="21"/>
    </row>
    <row r="29" spans="2:29" s="14" customFormat="1">
      <c r="B29" s="186" t="s">
        <v>1113</v>
      </c>
      <c r="C29" s="184" t="s">
        <v>1073</v>
      </c>
      <c r="D29" s="179" t="s">
        <v>459</v>
      </c>
      <c r="E29" s="306"/>
      <c r="F29" s="465"/>
      <c r="G29" s="21"/>
      <c r="H29" s="20"/>
      <c r="I29" s="463"/>
      <c r="J29" s="302"/>
      <c r="K29" s="302"/>
      <c r="L29" s="302"/>
      <c r="M29" s="302"/>
      <c r="N29" s="242">
        <f t="shared" si="4"/>
        <v>0</v>
      </c>
      <c r="O29" s="12"/>
      <c r="P29" s="12"/>
      <c r="Q29" s="12"/>
      <c r="R29" s="12"/>
      <c r="S29" s="528">
        <f>28*1000</f>
        <v>28000</v>
      </c>
      <c r="T29" s="477"/>
      <c r="U29" s="530" t="s">
        <v>1059</v>
      </c>
      <c r="V29" s="242" t="str">
        <f t="shared" si="6"/>
        <v>Unfilled fields to left</v>
      </c>
      <c r="X29" s="21"/>
    </row>
    <row r="30" spans="2:29" s="14" customFormat="1">
      <c r="B30" s="186" t="s">
        <v>1113</v>
      </c>
      <c r="C30" s="184" t="s">
        <v>1075</v>
      </c>
      <c r="D30" s="179" t="s">
        <v>459</v>
      </c>
      <c r="E30" s="306"/>
      <c r="F30" s="21"/>
      <c r="G30" s="21"/>
      <c r="H30" s="20"/>
      <c r="I30" s="463"/>
      <c r="J30" s="302"/>
      <c r="K30" s="302"/>
      <c r="L30" s="302"/>
      <c r="M30" s="302"/>
      <c r="N30" s="242">
        <f t="shared" si="4"/>
        <v>0</v>
      </c>
      <c r="O30" s="12"/>
      <c r="P30" s="12"/>
      <c r="Q30" s="12"/>
      <c r="R30" s="12"/>
      <c r="S30" s="534">
        <v>265000</v>
      </c>
      <c r="T30" s="518"/>
      <c r="U30" s="530" t="s">
        <v>1059</v>
      </c>
      <c r="V30" s="242" t="str">
        <f t="shared" si="6"/>
        <v>Unfilled fields to left</v>
      </c>
      <c r="X30" s="21"/>
    </row>
    <row r="31" spans="2:29" s="14" customFormat="1">
      <c r="B31" s="16"/>
      <c r="C31" s="15"/>
      <c r="D31" s="179"/>
      <c r="E31" s="306"/>
      <c r="F31" s="21"/>
      <c r="G31" s="21"/>
      <c r="H31" s="20"/>
      <c r="I31" s="463"/>
      <c r="J31" s="302"/>
      <c r="K31" s="302"/>
      <c r="L31" s="302"/>
      <c r="M31" s="302"/>
      <c r="N31" s="242">
        <f t="shared" si="4"/>
        <v>0</v>
      </c>
      <c r="O31" s="12"/>
      <c r="P31" s="12"/>
      <c r="Q31" s="12"/>
      <c r="R31" s="12"/>
      <c r="S31" s="529"/>
      <c r="T31" s="477"/>
      <c r="U31" s="531"/>
      <c r="V31" s="242" t="str">
        <f t="shared" si="6"/>
        <v>Unfilled fields to left</v>
      </c>
      <c r="X31" s="21"/>
    </row>
    <row r="32" spans="2:29" s="14" customFormat="1">
      <c r="B32" s="16"/>
      <c r="C32" s="15"/>
      <c r="D32" s="179"/>
      <c r="E32" s="306"/>
      <c r="F32" s="21"/>
      <c r="G32" s="21"/>
      <c r="H32" s="20"/>
      <c r="I32" s="463"/>
      <c r="J32" s="302"/>
      <c r="K32" s="302"/>
      <c r="L32" s="302"/>
      <c r="M32" s="302"/>
      <c r="N32" s="242">
        <f t="shared" si="4"/>
        <v>0</v>
      </c>
      <c r="O32" s="12"/>
      <c r="P32" s="12"/>
      <c r="Q32" s="12"/>
      <c r="R32" s="12"/>
      <c r="S32" s="528"/>
      <c r="T32" s="477"/>
      <c r="U32" s="531"/>
      <c r="V32" s="242" t="str">
        <f t="shared" si="6"/>
        <v>Unfilled fields to left</v>
      </c>
      <c r="X32" s="21"/>
    </row>
    <row r="33" spans="2:25">
      <c r="C33" s="17"/>
      <c r="D33" s="17"/>
      <c r="E33" s="140"/>
      <c r="F33" s="17"/>
      <c r="H33" s="18"/>
      <c r="I33" s="18"/>
      <c r="J33" s="40"/>
      <c r="K33" s="40"/>
      <c r="L33" s="39"/>
      <c r="M33" s="39"/>
      <c r="O33" s="12"/>
      <c r="P33" s="12"/>
      <c r="S33" s="40"/>
      <c r="T33" s="40"/>
      <c r="U33" s="40"/>
      <c r="V33" s="40"/>
      <c r="Y33" s="12"/>
    </row>
    <row r="34" spans="2:25">
      <c r="D34" s="17"/>
      <c r="E34" s="140"/>
      <c r="J34" s="39"/>
      <c r="K34" s="39"/>
      <c r="L34" s="107"/>
      <c r="M34" s="107"/>
      <c r="N34" s="107"/>
      <c r="O34" s="12"/>
      <c r="P34" s="12"/>
      <c r="S34" s="39"/>
      <c r="T34" s="39"/>
      <c r="U34" s="38" t="s">
        <v>1114</v>
      </c>
      <c r="V34" s="153">
        <f>SUM(V7:V33)</f>
        <v>0</v>
      </c>
      <c r="Y34" s="12"/>
    </row>
    <row r="35" spans="2:25">
      <c r="B35" s="145" t="s">
        <v>132</v>
      </c>
      <c r="C35" s="159"/>
      <c r="D35" s="159"/>
      <c r="E35" s="499"/>
      <c r="I35" s="12"/>
      <c r="J35" s="107"/>
      <c r="K35" s="107"/>
      <c r="L35" s="107"/>
      <c r="M35" s="107"/>
      <c r="N35" s="107"/>
      <c r="O35" s="12"/>
      <c r="P35" s="12"/>
      <c r="S35" s="107"/>
      <c r="T35" s="107"/>
      <c r="U35" s="107"/>
      <c r="Y35" s="12"/>
    </row>
    <row r="36" spans="2:25">
      <c r="B36" s="16" t="s">
        <v>1086</v>
      </c>
      <c r="C36" s="15" t="s">
        <v>1087</v>
      </c>
      <c r="D36" s="15" t="s">
        <v>1088</v>
      </c>
      <c r="E36" s="501"/>
      <c r="G36" s="19"/>
      <c r="H36" s="12"/>
      <c r="I36" s="12"/>
      <c r="J36" s="107"/>
      <c r="K36" s="107"/>
      <c r="L36" s="107"/>
      <c r="M36" s="107"/>
      <c r="N36" s="107"/>
      <c r="O36" s="12"/>
      <c r="P36" s="12"/>
      <c r="S36" s="107"/>
      <c r="T36" s="107"/>
      <c r="U36" s="107"/>
      <c r="V36" s="12"/>
      <c r="X36" s="25"/>
      <c r="Y36" s="12"/>
    </row>
    <row r="37" spans="2:25">
      <c r="B37" s="16" t="s">
        <v>1091</v>
      </c>
      <c r="C37" s="15" t="s">
        <v>1092</v>
      </c>
      <c r="D37" s="15" t="s">
        <v>785</v>
      </c>
      <c r="E37" s="512"/>
      <c r="H37" s="12"/>
      <c r="I37" s="12"/>
      <c r="J37" s="107"/>
      <c r="K37" s="107"/>
      <c r="L37" s="39"/>
      <c r="M37" s="39"/>
      <c r="S37" s="107"/>
      <c r="T37" s="107"/>
      <c r="U37" s="107"/>
      <c r="V37" s="12"/>
      <c r="X37" s="25"/>
      <c r="Y37" s="12"/>
    </row>
    <row r="38" spans="2:25">
      <c r="B38" s="16"/>
      <c r="C38" s="15"/>
      <c r="D38" s="15"/>
      <c r="E38" s="512"/>
      <c r="J38" s="39"/>
      <c r="K38" s="39"/>
      <c r="L38" s="39"/>
      <c r="M38" s="39"/>
      <c r="S38" s="39"/>
      <c r="T38" s="39"/>
      <c r="U38" s="39"/>
      <c r="X38" s="25"/>
    </row>
    <row r="39" spans="2:25">
      <c r="B39" s="16"/>
      <c r="C39" s="15"/>
      <c r="D39" s="15"/>
      <c r="E39" s="507"/>
      <c r="J39" s="39"/>
      <c r="K39" s="39"/>
      <c r="L39" s="39"/>
      <c r="M39" s="39"/>
      <c r="S39" s="39"/>
      <c r="T39" s="39"/>
      <c r="U39" s="39"/>
      <c r="X39" s="25"/>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S122" s="39"/>
      <c r="T122" s="39"/>
      <c r="U122" s="39"/>
    </row>
    <row r="123" spans="5:21">
      <c r="E123" s="107"/>
      <c r="J123" s="39"/>
      <c r="K123" s="39"/>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E148" s="107"/>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row r="190" spans="19:21">
      <c r="S190" s="39"/>
      <c r="T190" s="39"/>
      <c r="U190"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C2" sqref="C2:E2"/>
      <pageMargins left="0" right="0" top="0" bottom="0" header="0" footer="0"/>
      <pageSetup paperSize="9" orientation="portrait" r:id="rId3"/>
    </customSheetView>
    <customSheetView guid="{3F0A4FBA-5323-448F-A023-B3E14C54064C}" showGridLines="0">
      <pane xSplit="3" ySplit="5" topLeftCell="Q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Q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2" xr:uid="{73E139E7-384D-4529-82EB-C42A75445CC8}">
      <formula1>Flow_units</formula1>
    </dataValidation>
    <dataValidation type="custom" allowBlank="1" showInputMessage="1" showErrorMessage="1" error="Please do not change this formula" prompt="Please do not change this formula" sqref="W4 V1:V4 S5:V5 V6:V7 V28:V1048576 V8:V27" xr:uid="{326EA5AE-EBA4-4636-A3D2-F2F7911330D8}">
      <formula1>"Please do not change this formula"</formula1>
    </dataValidation>
    <dataValidation type="custom" allowBlank="1" showInputMessage="1" showErrorMessage="1" error="Please do not change this formula" sqref="O6:O19 O21:O1048576 R23:R1048576 P1:Q1048576 R1:R19 N1:O5 N6:N1048576" xr:uid="{E5619B01-906C-4172-A8BC-72F28C69A5AE}">
      <formula1>"Please do not change this formula"</formula1>
    </dataValidation>
    <dataValidation type="custom" allowBlank="1" showInputMessage="1" showErrorMessage="1" error="Please do not change" sqref="O20 R20:R22" xr:uid="{CC058DB0-AC0E-4DF7-8557-15126D6CC2AF}">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27 S29:T33" xr:uid="{06EE3A9F-3A57-4A9D-A02B-BDBBC611DE72}">
      <formula1>0</formula1>
    </dataValidation>
  </dataValidations>
  <hyperlinks>
    <hyperlink ref="I2:J2" location="'NG Transport'!A1" display="Go to the next step of this pathway" xr:uid="{2A02F32A-0CCD-4C2E-9FEF-46F16364ABAE}"/>
    <hyperlink ref="I2:K2" location="NG_Transport!A1" display="Go to the next step of this pathway" xr:uid="{83146335-0260-4739-B1DB-6DB48BA9E911}"/>
  </hyperlinks>
  <pageMargins left="0" right="0" top="0" bottom="0" header="0" footer="0"/>
  <pageSetup paperSize="9" orientation="portrait" r:id="rId10"/>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93" id="{00000000-000E-0000-1600-00005C000000}">
            <xm:f>AND(Path&lt;&gt;Units!$B$126,Path&lt;&gt;Units!$B$127,Path&lt;&gt;Units!$B$128, Path&lt;&gt;Units!$B$129,Master_Switch="On")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1" id="{D69538E6-95DE-411E-A219-997608FDE610}">
            <xm:f>AND(Initial_questions!$E$73=Units!$H$120,GHG_NG_SPLITTING!$D$3="Default",Master_Switch="On")</xm:f>
            <x14:dxf>
              <font>
                <color theme="0"/>
              </font>
              <fill>
                <patternFill>
                  <fgColor theme="0"/>
                  <bgColor theme="0"/>
                </patternFill>
              </fill>
            </x14:dxf>
          </x14:cfRule>
          <x14:cfRule type="expression" priority="253" id="{EEB7E19D-D89E-45C5-820B-FD530B01DAF7}">
            <xm:f>AND(Initial_questions!$E$73=Units!$H$120,GHG_NG_REFORM_CCS!$D$3="Default",Master_Switch="On")</xm:f>
            <x14:dxf>
              <font>
                <color theme="0"/>
              </font>
              <fill>
                <patternFill>
                  <bgColor theme="0"/>
                </patternFill>
              </fill>
              <border>
                <left/>
                <right/>
                <top/>
                <bottom/>
                <vertical/>
                <horizontal/>
              </border>
            </x14:dxf>
          </x14:cfRule>
          <x14:cfRule type="expression" priority="254" id="{B055A149-C709-4940-A194-981B785DD515}">
            <xm:f>AND(OR(GHG_NG_REFORM_CCS!$D$3="Default",GHG_NG_SPLITTING!$D$3="Default"),Master_Switch="On")</xm:f>
            <x14:dxf>
              <font>
                <color theme="0"/>
              </font>
              <fill>
                <patternFill>
                  <bgColor theme="0"/>
                </patternFill>
              </fill>
              <border>
                <left/>
                <right/>
                <top/>
                <bottom/>
              </border>
            </x14:dxf>
          </x14:cfRule>
          <xm:sqref>A3:XFD200</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67691-B22C-4EAE-BAB9-62ED7F9B778E}">
  <sheetPr codeName="Sheet21">
    <tabColor theme="5"/>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55"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20.453125" customWidth="1"/>
    <col min="16" max="16" width="8" customWidth="1"/>
    <col min="17" max="17" width="18.81640625" style="12" customWidth="1"/>
    <col min="18" max="18" width="17.54296875" style="12" customWidth="1"/>
    <col min="19" max="20" width="20.7265625" style="13" customWidth="1"/>
    <col min="21" max="21" width="22.7265625" style="13" customWidth="1"/>
    <col min="22" max="22" width="20.26953125" style="39" customWidth="1"/>
    <col min="23" max="23" width="7.1796875" style="12" customWidth="1"/>
    <col min="24" max="24" width="26" style="12" customWidth="1"/>
    <col min="26" max="16384" width="7.1796875" style="12"/>
  </cols>
  <sheetData>
    <row r="1" spans="1:29" ht="31.9" customHeight="1">
      <c r="A1" s="80" t="str">
        <f>IF(AND(Path&lt;&gt;Units!$B$126,Path&lt;&gt;Units!$B$127,Path&lt;&gt;Units!$B$128,Path&lt;&gt;Units!$B$129,Master_Switch="On"),"User should not fill in this sheet, but switch to other non-blank GHG worksheets","")</f>
        <v>User should not fill in this sheet, but switch to other non-blank GHG worksheets</v>
      </c>
      <c r="E1" s="256"/>
    </row>
    <row r="2" spans="1:29" s="19" customFormat="1" ht="20.5" customHeight="1">
      <c r="B2" s="80" t="str">
        <f>IF(OR(AND(Initial_questions!$E$73=Units!$H$120,GHG_NG_REFORM_CCS!$D$3="Default",Master_Switch="On"),AND(Initial_questions!$E$73=Units!$H$120,GHG_NG_SPLITTING!$D$3="Default",Master_Switch="On")), "NSTA data used, move to the next step of the pathway","")</f>
        <v/>
      </c>
      <c r="E2" s="256"/>
      <c r="H2" s="126"/>
      <c r="I2" s="729" t="s">
        <v>1093</v>
      </c>
      <c r="J2" s="731"/>
      <c r="K2" s="732"/>
      <c r="L2" s="39"/>
      <c r="M2" s="39"/>
      <c r="N2" s="39"/>
      <c r="O2"/>
      <c r="P2"/>
      <c r="Q2" s="12"/>
      <c r="R2" s="12"/>
      <c r="S2" s="126"/>
      <c r="T2" s="126"/>
      <c r="U2" s="126"/>
      <c r="V2" s="125"/>
      <c r="Y2"/>
    </row>
    <row r="3" spans="1:29" ht="15" customHeight="1">
      <c r="E3" s="256"/>
    </row>
    <row r="4" spans="1:29" ht="15.65" customHeight="1" thickBot="1">
      <c r="B4" s="3"/>
      <c r="C4" s="3"/>
      <c r="D4" s="3"/>
      <c r="E4" s="455"/>
      <c r="F4" s="3"/>
      <c r="G4" s="3"/>
      <c r="H4" s="1"/>
      <c r="I4" s="1"/>
      <c r="J4" s="1"/>
      <c r="K4" s="1"/>
      <c r="L4" s="1"/>
      <c r="M4" s="1"/>
      <c r="N4" s="37"/>
      <c r="O4" s="1"/>
      <c r="P4" s="1"/>
      <c r="Q4" s="3"/>
      <c r="R4" s="3"/>
      <c r="S4" s="1"/>
      <c r="T4" s="1"/>
      <c r="U4" s="1"/>
      <c r="V4" s="37"/>
      <c r="W4" s="37"/>
      <c r="X4" s="3"/>
    </row>
    <row r="5" spans="1:29"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9" ht="15" thickTop="1">
      <c r="E6" s="457"/>
      <c r="Q6"/>
      <c r="R6"/>
      <c r="S6"/>
      <c r="T6"/>
      <c r="U6"/>
      <c r="V6"/>
    </row>
    <row r="7" spans="1:29">
      <c r="B7" s="145" t="s">
        <v>1097</v>
      </c>
      <c r="C7" s="145"/>
      <c r="D7" s="145"/>
      <c r="E7" s="324"/>
      <c r="F7" s="145"/>
      <c r="G7" s="145"/>
      <c r="H7" s="145"/>
      <c r="I7" s="145"/>
      <c r="J7" s="145"/>
      <c r="K7" s="145"/>
      <c r="L7" s="145"/>
      <c r="M7" s="145"/>
      <c r="N7" s="301"/>
      <c r="Q7"/>
      <c r="R7"/>
      <c r="S7"/>
      <c r="T7"/>
      <c r="U7"/>
      <c r="V7"/>
      <c r="W7" s="19"/>
      <c r="X7" s="19"/>
      <c r="Y7" s="19"/>
      <c r="Z7" s="19"/>
      <c r="AA7" s="19"/>
      <c r="AB7" s="19"/>
      <c r="AC7" s="19"/>
    </row>
    <row r="8" spans="1:29">
      <c r="B8" s="16" t="s">
        <v>1115</v>
      </c>
      <c r="C8" s="184" t="s">
        <v>1105</v>
      </c>
      <c r="D8" s="179" t="s">
        <v>459</v>
      </c>
      <c r="E8" s="35"/>
      <c r="F8" s="21"/>
      <c r="G8" s="21"/>
      <c r="H8" s="20"/>
      <c r="I8" s="20"/>
      <c r="J8" s="300"/>
      <c r="K8" s="302"/>
      <c r="L8" s="302"/>
      <c r="M8" s="302"/>
      <c r="N8" s="242">
        <f t="shared" ref="N8:N17" si="0">IF($D8="MWh/yr (LHV)",$E8,$J8*$E8*(1-$L8)/Conversion_kWh_to_MJ)</f>
        <v>0</v>
      </c>
      <c r="O8" s="12"/>
      <c r="P8" s="12"/>
      <c r="S8" s="107"/>
      <c r="T8" s="107"/>
      <c r="U8" s="107"/>
      <c r="V8" s="12"/>
      <c r="X8" s="24"/>
      <c r="Y8" s="12"/>
    </row>
    <row r="9" spans="1:29">
      <c r="B9" s="186" t="s">
        <v>1021</v>
      </c>
      <c r="C9" s="184" t="s">
        <v>1116</v>
      </c>
      <c r="D9" s="179" t="s">
        <v>479</v>
      </c>
      <c r="E9" s="35"/>
      <c r="F9" s="21"/>
      <c r="G9" s="21"/>
      <c r="H9" s="20"/>
      <c r="I9" s="36"/>
      <c r="J9" s="300"/>
      <c r="K9" s="302"/>
      <c r="L9" s="302"/>
      <c r="M9" s="302"/>
      <c r="N9" s="242">
        <f t="shared" si="0"/>
        <v>0</v>
      </c>
      <c r="O9" s="12"/>
      <c r="P9" s="12"/>
      <c r="S9" s="35" t="str">
        <f>IF(B9="", "", IF(D9="MWh/yr (LHV)", "Use column to right", "Enter data here"))</f>
        <v>Use column to right</v>
      </c>
      <c r="T9" s="300" t="e">
        <f>INDEX(Proj_grid_intensity_kWh,MATCH(Operations_year,Proj_grid_year,0))/Conversion_kWh_to_MJ</f>
        <v>#N/A</v>
      </c>
      <c r="U9" s="35" t="s">
        <v>1064</v>
      </c>
      <c r="V9" s="242" t="str">
        <f t="shared" ref="V9:V17" si="1">IFERROR(IF(D9="tonnes/yr", $S9*$E9/($N$20*3.6), $T9*$E9*3.6/($N$20*3.6)), "Unfilled fields to left")</f>
        <v>Unfilled fields to left</v>
      </c>
      <c r="X9" s="25"/>
      <c r="Y9" s="12"/>
    </row>
    <row r="10" spans="1:29">
      <c r="B10" s="186" t="s">
        <v>1021</v>
      </c>
      <c r="C10" s="184"/>
      <c r="D10" s="179"/>
      <c r="E10" s="35"/>
      <c r="F10" s="21"/>
      <c r="G10" s="21"/>
      <c r="H10" s="20"/>
      <c r="I10" s="36"/>
      <c r="J10" s="300"/>
      <c r="K10" s="302"/>
      <c r="L10" s="302"/>
      <c r="M10" s="302"/>
      <c r="N10" s="242">
        <f t="shared" si="0"/>
        <v>0</v>
      </c>
      <c r="O10" s="12"/>
      <c r="P10" s="12"/>
      <c r="S10" s="35" t="str">
        <f>IF(B10="", "", IF(D10="MWh/yr (LHV)", "Use column to right", "Enter data here"))</f>
        <v>Enter data here</v>
      </c>
      <c r="T10" s="35" t="str">
        <f t="shared" ref="T10" si="2">IF(B10="", "", IF(D10="MWh/yr (LHV)", "Enter data here", "Use column to left"))</f>
        <v>Use column to left</v>
      </c>
      <c r="U10" s="35" t="s">
        <v>1100</v>
      </c>
      <c r="V10" s="242" t="str">
        <f t="shared" si="1"/>
        <v>Unfilled fields to left</v>
      </c>
      <c r="X10" s="25"/>
      <c r="Y10" s="12"/>
    </row>
    <row r="11" spans="1:29">
      <c r="B11" s="186" t="s">
        <v>1042</v>
      </c>
      <c r="C11" s="184" t="s">
        <v>1043</v>
      </c>
      <c r="D11" s="179" t="s">
        <v>459</v>
      </c>
      <c r="E11" s="35"/>
      <c r="F11" s="21"/>
      <c r="G11" s="21"/>
      <c r="H11" s="20"/>
      <c r="I11" s="36"/>
      <c r="J11" s="300"/>
      <c r="K11" s="302"/>
      <c r="L11" s="302"/>
      <c r="M11" s="302"/>
      <c r="N11" s="242">
        <f t="shared" si="0"/>
        <v>0</v>
      </c>
      <c r="O11" s="12"/>
      <c r="P11" s="12"/>
      <c r="S11" s="35" t="str">
        <f t="shared" ref="S11:S17" si="3">IF(B11="", "", IF(D11="MWh/yr (LHV)", "Use column to right", "Enter data here"))</f>
        <v>Enter data here</v>
      </c>
      <c r="T11" s="35" t="str">
        <f t="shared" ref="T11:T17" si="4">IF(B11="", "", IF(D11="MWh/yr (LHV)", "Enter data here", "Use column to left"))</f>
        <v>Use column to left</v>
      </c>
      <c r="U11" s="35" t="s">
        <v>1100</v>
      </c>
      <c r="V11" s="242" t="str">
        <f t="shared" si="1"/>
        <v>Unfilled fields to left</v>
      </c>
      <c r="X11" s="25"/>
      <c r="Y11" s="12"/>
    </row>
    <row r="12" spans="1:29">
      <c r="B12" s="186" t="s">
        <v>1042</v>
      </c>
      <c r="C12" s="184" t="s">
        <v>1045</v>
      </c>
      <c r="D12" s="179" t="s">
        <v>459</v>
      </c>
      <c r="E12" s="35"/>
      <c r="F12" s="21"/>
      <c r="G12" s="21"/>
      <c r="H12" s="20"/>
      <c r="I12" s="36"/>
      <c r="J12" s="300"/>
      <c r="K12" s="302"/>
      <c r="L12" s="302"/>
      <c r="M12" s="302"/>
      <c r="N12" s="242">
        <f t="shared" si="0"/>
        <v>0</v>
      </c>
      <c r="O12" s="12"/>
      <c r="P12" s="12"/>
      <c r="S12" s="35" t="str">
        <f t="shared" si="3"/>
        <v>Enter data here</v>
      </c>
      <c r="T12" s="35" t="str">
        <f t="shared" si="4"/>
        <v>Use column to left</v>
      </c>
      <c r="U12" s="35" t="s">
        <v>1100</v>
      </c>
      <c r="V12" s="242" t="str">
        <f t="shared" si="1"/>
        <v>Unfilled fields to left</v>
      </c>
      <c r="X12" s="25"/>
      <c r="Y12" s="12"/>
    </row>
    <row r="13" spans="1:29">
      <c r="B13" s="186" t="s">
        <v>1051</v>
      </c>
      <c r="C13" s="184" t="s">
        <v>1010</v>
      </c>
      <c r="D13" s="179" t="s">
        <v>459</v>
      </c>
      <c r="E13" s="35"/>
      <c r="F13" s="21"/>
      <c r="G13" s="21"/>
      <c r="H13" s="20"/>
      <c r="I13" s="36"/>
      <c r="J13" s="300"/>
      <c r="K13" s="302"/>
      <c r="L13" s="302"/>
      <c r="M13" s="302"/>
      <c r="N13" s="242">
        <f t="shared" si="0"/>
        <v>0</v>
      </c>
      <c r="O13" s="12"/>
      <c r="P13" s="12"/>
      <c r="S13" s="35" t="str">
        <f t="shared" si="3"/>
        <v>Enter data here</v>
      </c>
      <c r="T13" s="35" t="str">
        <f t="shared" si="4"/>
        <v>Use column to left</v>
      </c>
      <c r="U13" s="35" t="s">
        <v>1100</v>
      </c>
      <c r="V13" s="242" t="str">
        <f t="shared" si="1"/>
        <v>Unfilled fields to left</v>
      </c>
      <c r="X13" s="25"/>
      <c r="Y13" s="12"/>
    </row>
    <row r="14" spans="1:29">
      <c r="B14" s="186" t="s">
        <v>1051</v>
      </c>
      <c r="C14" s="184" t="s">
        <v>1101</v>
      </c>
      <c r="D14" s="179" t="s">
        <v>459</v>
      </c>
      <c r="E14" s="35"/>
      <c r="F14" s="21"/>
      <c r="G14" s="21"/>
      <c r="H14" s="20"/>
      <c r="I14" s="36"/>
      <c r="J14" s="300"/>
      <c r="K14" s="302"/>
      <c r="L14" s="302"/>
      <c r="M14" s="302"/>
      <c r="N14" s="242">
        <f t="shared" si="0"/>
        <v>0</v>
      </c>
      <c r="O14" s="12"/>
      <c r="P14" s="12"/>
      <c r="S14" s="35" t="str">
        <f t="shared" si="3"/>
        <v>Enter data here</v>
      </c>
      <c r="T14" s="35" t="str">
        <f t="shared" si="4"/>
        <v>Use column to left</v>
      </c>
      <c r="U14" s="35" t="s">
        <v>1100</v>
      </c>
      <c r="V14" s="242" t="str">
        <f t="shared" si="1"/>
        <v>Unfilled fields to left</v>
      </c>
      <c r="X14" s="25"/>
      <c r="Y14" s="12"/>
    </row>
    <row r="15" spans="1:29">
      <c r="B15" s="186" t="s">
        <v>1102</v>
      </c>
      <c r="C15" s="184" t="s">
        <v>1055</v>
      </c>
      <c r="D15" s="179" t="s">
        <v>459</v>
      </c>
      <c r="E15" s="35"/>
      <c r="F15" s="21"/>
      <c r="G15" s="21"/>
      <c r="H15" s="20"/>
      <c r="I15" s="36"/>
      <c r="J15" s="300"/>
      <c r="K15" s="302"/>
      <c r="L15" s="302"/>
      <c r="M15" s="302"/>
      <c r="N15" s="242">
        <f t="shared" si="0"/>
        <v>0</v>
      </c>
      <c r="O15" s="12"/>
      <c r="P15" s="12"/>
      <c r="S15" s="35" t="str">
        <f t="shared" si="3"/>
        <v>Enter data here</v>
      </c>
      <c r="T15" s="35" t="str">
        <f t="shared" si="4"/>
        <v>Use column to left</v>
      </c>
      <c r="U15" s="35" t="s">
        <v>1100</v>
      </c>
      <c r="V15" s="242" t="str">
        <f t="shared" si="1"/>
        <v>Unfilled fields to left</v>
      </c>
      <c r="X15" s="25"/>
      <c r="Y15" s="12"/>
    </row>
    <row r="16" spans="1:29">
      <c r="B16" s="186" t="s">
        <v>1102</v>
      </c>
      <c r="C16" s="184"/>
      <c r="D16" s="179"/>
      <c r="E16" s="35"/>
      <c r="F16" s="21"/>
      <c r="G16" s="21"/>
      <c r="H16" s="20"/>
      <c r="I16" s="36"/>
      <c r="J16" s="300"/>
      <c r="K16" s="302"/>
      <c r="L16" s="302"/>
      <c r="M16" s="302"/>
      <c r="N16" s="242">
        <f t="shared" si="0"/>
        <v>0</v>
      </c>
      <c r="O16" s="12"/>
      <c r="P16" s="12"/>
      <c r="S16" s="35" t="str">
        <f t="shared" si="3"/>
        <v>Enter data here</v>
      </c>
      <c r="T16" s="35" t="str">
        <f t="shared" si="4"/>
        <v>Use column to left</v>
      </c>
      <c r="U16" s="35" t="s">
        <v>1100</v>
      </c>
      <c r="V16" s="242" t="str">
        <f t="shared" si="1"/>
        <v>Unfilled fields to left</v>
      </c>
      <c r="X16" s="25"/>
      <c r="Y16" s="12"/>
    </row>
    <row r="17" spans="2:29">
      <c r="B17" s="16"/>
      <c r="C17" s="15"/>
      <c r="D17" s="179"/>
      <c r="E17" s="35"/>
      <c r="F17" s="21"/>
      <c r="G17" s="21"/>
      <c r="H17" s="20"/>
      <c r="I17" s="36"/>
      <c r="J17" s="300"/>
      <c r="K17" s="302"/>
      <c r="L17" s="302"/>
      <c r="M17" s="302"/>
      <c r="N17" s="242">
        <f t="shared" si="0"/>
        <v>0</v>
      </c>
      <c r="O17" s="12"/>
      <c r="P17" s="12"/>
      <c r="S17" s="35" t="str">
        <f t="shared" si="3"/>
        <v/>
      </c>
      <c r="T17" s="35" t="str">
        <f t="shared" si="4"/>
        <v/>
      </c>
      <c r="U17" s="35"/>
      <c r="V17" s="242" t="str">
        <f t="shared" si="1"/>
        <v>Unfilled fields to left</v>
      </c>
      <c r="X17" s="25"/>
      <c r="Y17" s="12"/>
    </row>
    <row r="18" spans="2:29">
      <c r="C18" s="17"/>
      <c r="D18" s="17"/>
      <c r="E18" s="506"/>
      <c r="F18" s="26"/>
      <c r="G18" s="27"/>
      <c r="H18" s="22"/>
      <c r="I18" s="22"/>
      <c r="J18" s="41"/>
      <c r="K18" s="41"/>
      <c r="L18" s="41"/>
      <c r="M18" s="41"/>
      <c r="N18" s="41"/>
      <c r="S18" s="41"/>
      <c r="T18" s="41"/>
      <c r="U18" s="41"/>
      <c r="V18" s="41"/>
      <c r="X18" s="27"/>
      <c r="Y18" s="12"/>
    </row>
    <row r="19" spans="2:29">
      <c r="B19" s="145" t="s">
        <v>1103</v>
      </c>
      <c r="C19" s="145"/>
      <c r="D19" s="145"/>
      <c r="E19" s="301"/>
      <c r="F19" s="145"/>
      <c r="G19" s="145"/>
      <c r="H19" s="145"/>
      <c r="I19" s="145"/>
      <c r="J19" s="301"/>
      <c r="K19" s="301"/>
      <c r="L19" s="301"/>
      <c r="M19" s="301"/>
      <c r="N19" s="301"/>
      <c r="Q19"/>
      <c r="R19"/>
      <c r="S19" s="40"/>
      <c r="T19" s="40"/>
      <c r="U19" s="40"/>
      <c r="V19" s="40"/>
      <c r="W19" s="19"/>
      <c r="X19" s="19"/>
      <c r="Y19" s="19"/>
      <c r="Z19" s="19"/>
      <c r="AA19" s="19"/>
      <c r="AB19" s="19"/>
      <c r="AC19" s="19"/>
    </row>
    <row r="20" spans="2:29">
      <c r="B20" s="16" t="s">
        <v>1104</v>
      </c>
      <c r="C20" s="184" t="s">
        <v>1105</v>
      </c>
      <c r="D20" s="179" t="s">
        <v>459</v>
      </c>
      <c r="E20" s="35"/>
      <c r="F20" s="21"/>
      <c r="G20" s="21"/>
      <c r="H20" s="21"/>
      <c r="I20" s="21"/>
      <c r="J20" s="300"/>
      <c r="K20" s="306"/>
      <c r="L20" s="306"/>
      <c r="M20" s="306"/>
      <c r="N20" s="242">
        <f t="shared" ref="N20:N31" si="5">IF($D20="MWh/yr (LHV)",$E20,$J20*$E20*(1-$L20)/Conversion_kWh_to_MJ)</f>
        <v>0</v>
      </c>
      <c r="O20" s="246" t="str">
        <f>IFERROR(N20/N8,"")</f>
        <v/>
      </c>
      <c r="Q20" s="515">
        <f>IF($D20="MWh/yr (LHV)",$E20,$E20*MAX(0, $J20*(1-$L20)-2.441*$L20)/Conversion_kWh_to_MJ)</f>
        <v>0</v>
      </c>
      <c r="R20" s="245" t="str">
        <f>IFERROR(Q20/(SUM($Q$20:$Q$22)),"")</f>
        <v/>
      </c>
      <c r="S20" s="42"/>
      <c r="T20" s="42"/>
      <c r="U20" s="42"/>
      <c r="V20" s="42"/>
      <c r="X20" s="21"/>
      <c r="Y20" s="12"/>
    </row>
    <row r="21" spans="2:29" s="14" customFormat="1">
      <c r="B21" s="186" t="s">
        <v>1008</v>
      </c>
      <c r="C21" s="184" t="s">
        <v>1106</v>
      </c>
      <c r="D21" s="179" t="s">
        <v>459</v>
      </c>
      <c r="E21" s="35"/>
      <c r="F21" s="21"/>
      <c r="G21" s="21"/>
      <c r="H21" s="20"/>
      <c r="I21" s="33"/>
      <c r="J21" s="300"/>
      <c r="K21" s="302"/>
      <c r="L21" s="302"/>
      <c r="M21" s="302"/>
      <c r="N21" s="242">
        <f t="shared" si="5"/>
        <v>0</v>
      </c>
      <c r="O21" s="12"/>
      <c r="P21" s="12"/>
      <c r="Q21" s="515">
        <f>IF($D21="MWh/yr (LHV)",$E21,$E21*MAX(0, $J21*(1-$L21)-2.441*$L21)/Conversion_kWh_to_MJ)</f>
        <v>0</v>
      </c>
      <c r="R21" s="245" t="str">
        <f t="shared" ref="R21:R22" si="6">IFERROR(Q21/(SUM($Q$20:$Q$22)),"")</f>
        <v/>
      </c>
      <c r="S21" s="42"/>
      <c r="T21" s="42"/>
      <c r="U21" s="107"/>
      <c r="V21" s="12"/>
      <c r="W21" s="23"/>
      <c r="X21" s="21"/>
      <c r="Y21" s="23"/>
      <c r="Z21" s="42"/>
      <c r="AB21" s="12"/>
    </row>
    <row r="22" spans="2:29" s="14" customFormat="1">
      <c r="B22" s="186" t="s">
        <v>1008</v>
      </c>
      <c r="C22" s="184" t="s">
        <v>1107</v>
      </c>
      <c r="D22" s="179" t="s">
        <v>459</v>
      </c>
      <c r="E22" s="35"/>
      <c r="F22" s="21"/>
      <c r="G22" s="21"/>
      <c r="H22" s="20"/>
      <c r="I22" s="20"/>
      <c r="J22" s="302"/>
      <c r="K22" s="302"/>
      <c r="L22" s="302"/>
      <c r="M22" s="302"/>
      <c r="N22" s="242">
        <f t="shared" si="5"/>
        <v>0</v>
      </c>
      <c r="O22" s="12"/>
      <c r="P22" s="12"/>
      <c r="Q22" s="515">
        <f>IF($D22="MWh/yr (LHV)",$E22,$E22*MAX(0, $J22*(1-$L22)-2.441*$L22)/Conversion_kWh_to_MJ)</f>
        <v>0</v>
      </c>
      <c r="R22" s="245" t="str">
        <f t="shared" si="6"/>
        <v/>
      </c>
      <c r="S22" s="42"/>
      <c r="T22" s="42"/>
      <c r="U22" s="107"/>
      <c r="V22" s="12"/>
      <c r="W22" s="23"/>
      <c r="X22" s="21"/>
      <c r="Y22" s="23"/>
      <c r="Z22" s="42"/>
      <c r="AB22" s="12"/>
    </row>
    <row r="23" spans="2:29" s="14" customFormat="1">
      <c r="B23" s="186" t="s">
        <v>1013</v>
      </c>
      <c r="C23" s="184" t="s">
        <v>1108</v>
      </c>
      <c r="D23" s="179" t="s">
        <v>459</v>
      </c>
      <c r="E23" s="35"/>
      <c r="F23" s="21"/>
      <c r="G23" s="21"/>
      <c r="H23" s="20"/>
      <c r="I23" s="20"/>
      <c r="J23" s="302"/>
      <c r="K23" s="302"/>
      <c r="L23" s="302"/>
      <c r="M23" s="302"/>
      <c r="N23" s="242">
        <f t="shared" si="5"/>
        <v>0</v>
      </c>
      <c r="O23" s="12"/>
      <c r="P23" s="12"/>
      <c r="Q23" s="12"/>
      <c r="R23" s="12"/>
      <c r="S23" s="107"/>
      <c r="T23" s="107"/>
      <c r="U23" s="107"/>
      <c r="V23" s="12"/>
      <c r="W23" s="23"/>
      <c r="X23" s="21"/>
      <c r="Y23" s="23"/>
      <c r="Z23" s="42"/>
      <c r="AB23" s="12"/>
    </row>
    <row r="24" spans="2:29" s="14" customFormat="1">
      <c r="B24" s="186" t="s">
        <v>1013</v>
      </c>
      <c r="C24" s="184" t="s">
        <v>1015</v>
      </c>
      <c r="D24" s="179" t="s">
        <v>459</v>
      </c>
      <c r="E24" s="35"/>
      <c r="F24" s="21"/>
      <c r="G24" s="21"/>
      <c r="H24" s="20"/>
      <c r="I24" s="20"/>
      <c r="J24" s="302"/>
      <c r="K24" s="302"/>
      <c r="L24" s="302"/>
      <c r="M24" s="302"/>
      <c r="N24" s="242">
        <f t="shared" si="5"/>
        <v>0</v>
      </c>
      <c r="O24" s="12"/>
      <c r="P24" s="12"/>
      <c r="Q24" s="12"/>
      <c r="R24" s="12"/>
      <c r="S24" s="107"/>
      <c r="T24" s="107"/>
      <c r="U24" s="107"/>
      <c r="V24" s="12"/>
      <c r="W24" s="23"/>
      <c r="X24" s="21"/>
      <c r="Y24" s="23"/>
      <c r="Z24" s="42"/>
      <c r="AB24" s="12"/>
    </row>
    <row r="25" spans="2:29" s="14" customFormat="1">
      <c r="B25" s="186" t="s">
        <v>1016</v>
      </c>
      <c r="C25" s="184" t="s">
        <v>1017</v>
      </c>
      <c r="D25" s="179" t="s">
        <v>459</v>
      </c>
      <c r="E25" s="35"/>
      <c r="F25" s="21"/>
      <c r="G25" s="21"/>
      <c r="H25" s="20"/>
      <c r="I25" s="36"/>
      <c r="J25" s="300"/>
      <c r="K25" s="302"/>
      <c r="L25" s="302"/>
      <c r="M25" s="302"/>
      <c r="N25" s="242">
        <f t="shared" si="5"/>
        <v>0</v>
      </c>
      <c r="O25" s="12"/>
      <c r="P25" s="12"/>
      <c r="Q25" s="12"/>
      <c r="R25" s="12"/>
      <c r="S25" s="107"/>
      <c r="T25" s="107"/>
      <c r="U25" s="107"/>
      <c r="V25" s="12"/>
      <c r="X25" s="21"/>
    </row>
    <row r="26" spans="2:29" s="14" customFormat="1">
      <c r="B26" s="186" t="s">
        <v>1016</v>
      </c>
      <c r="C26" s="184" t="s">
        <v>1018</v>
      </c>
      <c r="D26" s="179" t="s">
        <v>459</v>
      </c>
      <c r="E26" s="35"/>
      <c r="F26" s="21"/>
      <c r="G26" s="21"/>
      <c r="H26" s="20"/>
      <c r="I26" s="36"/>
      <c r="J26" s="300"/>
      <c r="K26" s="302"/>
      <c r="L26" s="302"/>
      <c r="M26" s="302"/>
      <c r="N26" s="242">
        <f t="shared" si="5"/>
        <v>0</v>
      </c>
      <c r="O26" s="12"/>
      <c r="P26" s="12"/>
      <c r="Q26" s="12"/>
      <c r="R26" s="12"/>
      <c r="S26" s="107"/>
      <c r="T26" s="107"/>
      <c r="U26" s="107"/>
      <c r="V26" s="12"/>
      <c r="X26" s="21"/>
    </row>
    <row r="27" spans="2:29" s="14" customFormat="1">
      <c r="B27" s="186" t="s">
        <v>1057</v>
      </c>
      <c r="C27" s="184" t="s">
        <v>1117</v>
      </c>
      <c r="D27" s="179" t="s">
        <v>459</v>
      </c>
      <c r="E27" s="35"/>
      <c r="F27" s="34"/>
      <c r="G27" s="21"/>
      <c r="H27" s="20"/>
      <c r="I27" s="36"/>
      <c r="J27" s="300"/>
      <c r="K27" s="302"/>
      <c r="L27" s="302"/>
      <c r="M27" s="302"/>
      <c r="N27" s="242">
        <f t="shared" si="5"/>
        <v>0</v>
      </c>
      <c r="O27" s="12"/>
      <c r="P27" s="12"/>
      <c r="Q27" s="12"/>
      <c r="R27" s="12"/>
      <c r="S27" s="300">
        <f>1*1000</f>
        <v>1000</v>
      </c>
      <c r="T27" s="477"/>
      <c r="U27" s="35" t="s">
        <v>1118</v>
      </c>
      <c r="V27" s="242" t="str">
        <f>IFERROR(IF(D27="tonnes/yr", $S27*$E27/($N$20*3.6), $T27*$E27*3.6/($N$20*3.6)), "Unfilled fields to left")</f>
        <v>Unfilled fields to left</v>
      </c>
      <c r="X27" s="21"/>
    </row>
    <row r="28" spans="2:29" s="14" customFormat="1">
      <c r="B28" s="186" t="s">
        <v>1113</v>
      </c>
      <c r="C28" s="184" t="s">
        <v>1073</v>
      </c>
      <c r="D28" s="179" t="s">
        <v>459</v>
      </c>
      <c r="E28" s="35"/>
      <c r="F28" s="34"/>
      <c r="G28" s="21"/>
      <c r="H28" s="20"/>
      <c r="I28" s="36"/>
      <c r="J28" s="300"/>
      <c r="K28" s="302"/>
      <c r="L28" s="302"/>
      <c r="M28" s="302"/>
      <c r="N28" s="242">
        <f t="shared" si="5"/>
        <v>0</v>
      </c>
      <c r="O28" s="12"/>
      <c r="P28" s="12"/>
      <c r="Q28" s="12"/>
      <c r="R28" s="12"/>
      <c r="S28" s="300">
        <f>28*1000</f>
        <v>28000</v>
      </c>
      <c r="T28" s="477"/>
      <c r="U28" s="35" t="s">
        <v>1059</v>
      </c>
      <c r="V28" s="242" t="str">
        <f>IFERROR(IF(D28="tonnes/yr", $S28*$E28/($N$20*3.6), $T28*$E28*3.6/($N$20*3.6)), "Unfilled fields to left")</f>
        <v>Unfilled fields to left</v>
      </c>
      <c r="X28" s="21"/>
    </row>
    <row r="29" spans="2:29" s="14" customFormat="1">
      <c r="B29" s="186" t="s">
        <v>1113</v>
      </c>
      <c r="C29" s="184" t="s">
        <v>1075</v>
      </c>
      <c r="D29" s="179" t="s">
        <v>459</v>
      </c>
      <c r="E29" s="35"/>
      <c r="F29" s="21"/>
      <c r="G29" s="21"/>
      <c r="H29" s="20"/>
      <c r="I29" s="36"/>
      <c r="J29" s="300"/>
      <c r="K29" s="302"/>
      <c r="L29" s="302"/>
      <c r="M29" s="302"/>
      <c r="N29" s="242">
        <f t="shared" si="5"/>
        <v>0</v>
      </c>
      <c r="O29" s="12"/>
      <c r="P29" s="12"/>
      <c r="Q29" s="12"/>
      <c r="R29" s="12"/>
      <c r="S29" s="35">
        <v>265000</v>
      </c>
      <c r="T29" s="518"/>
      <c r="U29" s="35" t="s">
        <v>1059</v>
      </c>
      <c r="V29" s="242" t="str">
        <f>IFERROR(IF(D29="tonnes/yr", $S29*$E29/($N$20*3.6), $T29*$E29*3.6/($N$20*3.6)), "Unfilled fields to left")</f>
        <v>Unfilled fields to left</v>
      </c>
      <c r="X29" s="21"/>
    </row>
    <row r="30" spans="2:29" s="14" customFormat="1">
      <c r="B30" s="16"/>
      <c r="C30" s="15"/>
      <c r="D30" s="179"/>
      <c r="E30" s="35"/>
      <c r="F30" s="21"/>
      <c r="G30" s="21"/>
      <c r="H30" s="20"/>
      <c r="I30" s="36"/>
      <c r="J30" s="300"/>
      <c r="K30" s="302"/>
      <c r="L30" s="302"/>
      <c r="M30" s="302"/>
      <c r="N30" s="242">
        <f t="shared" si="5"/>
        <v>0</v>
      </c>
      <c r="O30" s="12"/>
      <c r="P30" s="12"/>
      <c r="Q30" s="12"/>
      <c r="R30" s="12"/>
      <c r="S30" s="300"/>
      <c r="T30" s="477"/>
      <c r="U30" s="302"/>
      <c r="V30" s="242" t="str">
        <f>IFERROR(IF(D30="tonnes/yr", $S30*$E30/($N$20*3.6), $T30*$E30*3.6/($N$20*3.6)), "Unfilled fields to left")</f>
        <v>Unfilled fields to left</v>
      </c>
      <c r="X30" s="21"/>
    </row>
    <row r="31" spans="2:29" s="14" customFormat="1">
      <c r="B31" s="16"/>
      <c r="C31" s="15"/>
      <c r="D31" s="179"/>
      <c r="E31" s="35"/>
      <c r="F31" s="21"/>
      <c r="G31" s="21"/>
      <c r="H31" s="20"/>
      <c r="I31" s="36"/>
      <c r="J31" s="300"/>
      <c r="K31" s="302"/>
      <c r="L31" s="302"/>
      <c r="M31" s="302"/>
      <c r="N31" s="242">
        <f t="shared" si="5"/>
        <v>0</v>
      </c>
      <c r="O31" s="12"/>
      <c r="P31" s="12"/>
      <c r="Q31" s="12"/>
      <c r="R31" s="12"/>
      <c r="S31" s="300"/>
      <c r="T31" s="477"/>
      <c r="U31" s="302"/>
      <c r="V31" s="242" t="str">
        <f>IFERROR(IF(D31="tonnes/yr", $S31*$E31/($N$20*3.6), $T31*$E31*3.6/($N$20*3.6)), "Unfilled fields to left")</f>
        <v>Unfilled fields to left</v>
      </c>
      <c r="X31" s="21"/>
    </row>
    <row r="32" spans="2:29">
      <c r="C32" s="17"/>
      <c r="D32" s="17"/>
      <c r="E32" s="140"/>
      <c r="F32" s="17"/>
      <c r="H32" s="18"/>
      <c r="I32" s="18"/>
      <c r="J32" s="40"/>
      <c r="K32" s="40"/>
      <c r="L32" s="40"/>
      <c r="M32" s="40"/>
      <c r="N32" s="40"/>
      <c r="O32" s="12"/>
      <c r="P32" s="12"/>
      <c r="S32" s="40"/>
      <c r="T32" s="40"/>
      <c r="U32" s="40"/>
      <c r="V32" s="40"/>
      <c r="Y32" s="12"/>
    </row>
    <row r="33" spans="2:25">
      <c r="D33" s="17"/>
      <c r="E33" s="140"/>
      <c r="J33" s="39"/>
      <c r="K33" s="39"/>
      <c r="L33" s="39"/>
      <c r="M33" s="39"/>
      <c r="O33" s="12"/>
      <c r="P33" s="12"/>
      <c r="S33" s="39"/>
      <c r="T33" s="39"/>
      <c r="U33" s="38" t="s">
        <v>1114</v>
      </c>
      <c r="V33" s="153">
        <f>SUM(V7:V32)</f>
        <v>0</v>
      </c>
      <c r="Y33" s="12"/>
    </row>
    <row r="34" spans="2:25">
      <c r="B34" s="145" t="s">
        <v>132</v>
      </c>
      <c r="C34" s="159"/>
      <c r="D34" s="159"/>
      <c r="E34" s="499"/>
      <c r="I34" s="12"/>
      <c r="J34" s="107"/>
      <c r="K34" s="107"/>
      <c r="L34" s="107"/>
      <c r="M34" s="107"/>
      <c r="N34" s="107"/>
      <c r="O34" s="12"/>
      <c r="P34" s="12"/>
      <c r="S34" s="107"/>
      <c r="T34" s="107"/>
      <c r="U34" s="107"/>
      <c r="Y34" s="12"/>
    </row>
    <row r="35" spans="2:25">
      <c r="B35" s="16" t="s">
        <v>1086</v>
      </c>
      <c r="C35" s="15" t="s">
        <v>1087</v>
      </c>
      <c r="D35" s="15" t="s">
        <v>1088</v>
      </c>
      <c r="E35" s="501"/>
      <c r="G35" s="19"/>
      <c r="H35" s="12"/>
      <c r="I35" s="12"/>
      <c r="J35" s="107"/>
      <c r="K35" s="107"/>
      <c r="L35" s="107"/>
      <c r="M35" s="107"/>
      <c r="N35" s="107"/>
      <c r="O35" s="12"/>
      <c r="P35" s="12"/>
      <c r="S35" s="107"/>
      <c r="T35" s="107"/>
      <c r="U35" s="107"/>
      <c r="V35" s="12"/>
      <c r="X35" s="25"/>
      <c r="Y35" s="12"/>
    </row>
    <row r="36" spans="2:25">
      <c r="B36" s="16" t="s">
        <v>1119</v>
      </c>
      <c r="C36" s="15" t="s">
        <v>1120</v>
      </c>
      <c r="D36" s="15" t="s">
        <v>299</v>
      </c>
      <c r="E36" s="501"/>
      <c r="H36" s="12"/>
      <c r="I36" s="12"/>
      <c r="J36" s="107"/>
      <c r="K36" s="107"/>
      <c r="L36" s="107"/>
      <c r="M36" s="107"/>
      <c r="N36" s="107"/>
      <c r="O36" s="12"/>
      <c r="P36" s="12"/>
      <c r="S36" s="107"/>
      <c r="T36" s="107"/>
      <c r="U36" s="107"/>
      <c r="V36" s="12"/>
      <c r="X36" s="25"/>
      <c r="Y36" s="12"/>
    </row>
    <row r="37" spans="2:25">
      <c r="B37" s="16"/>
      <c r="C37" s="15"/>
      <c r="D37" s="15"/>
      <c r="E37" s="507"/>
      <c r="J37" s="39"/>
      <c r="K37" s="39"/>
      <c r="L37" s="39"/>
      <c r="M37" s="39"/>
      <c r="S37" s="39"/>
      <c r="T37" s="39"/>
      <c r="U37" s="39"/>
      <c r="X37" s="25"/>
    </row>
    <row r="38" spans="2:25">
      <c r="B38" s="16"/>
      <c r="C38" s="15"/>
      <c r="D38" s="15"/>
      <c r="E38" s="507"/>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C2" sqref="C2:E2"/>
      <pageMargins left="0" right="0" top="0" bottom="0" header="0" footer="0"/>
      <pageSetup paperSize="9" orientation="portrait" r:id="rId3"/>
    </customSheetView>
    <customSheetView guid="{3F0A4FBA-5323-448F-A023-B3E14C54064C}" showGridLines="0">
      <pane xSplit="3" ySplit="5" topLeftCell="I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I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9F35EDD0-6B20-4F98-AF9C-C506DD99BB57}">
      <formula1>Flow_units</formula1>
    </dataValidation>
    <dataValidation type="custom" allowBlank="1" showInputMessage="1" showErrorMessage="1" error="Please do not change this formula" prompt="Please do not change this formula" sqref="V6:V1048576 W4 V1:V4 S5:V5" xr:uid="{102F1B4D-A629-4DE8-A46B-B91CB5A9969D}">
      <formula1>"Please do not change this formula"</formula1>
    </dataValidation>
    <dataValidation type="custom" allowBlank="1" showInputMessage="1" showErrorMessage="1" error="Please do not change this formula" sqref="R23:R1048576 R1:R19 N1:Q1048576" xr:uid="{75975586-B7D1-4202-8AAE-3C7B1C4E67FD}">
      <formula1>"Please do not change this formula"</formula1>
    </dataValidation>
    <dataValidation type="custom" allowBlank="1" showInputMessage="1" showErrorMessage="1" error="Please do not change" sqref="R20:R22" xr:uid="{763D72D5-074B-4589-ADEC-91DB2C463C3A}">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9:T32" xr:uid="{548347C6-28DB-4300-B626-11193E0A9EA5}">
      <formula1>0</formula1>
    </dataValidation>
  </dataValidations>
  <hyperlinks>
    <hyperlink ref="I2:J2" location="'NG Processing'!A1" display="Go to the next step of this pathway" xr:uid="{EB96EBCB-8A0E-4F0A-AD31-536E3335A81E}"/>
    <hyperlink ref="I2:K2" location="NG_Processing!A1" display="Go to the next step of this pathway" xr:uid="{D53E1D65-C510-435E-9AE2-EF3296ED17BF}"/>
  </hyperlinks>
  <pageMargins left="0" right="0" top="0" bottom="0" header="0" footer="0"/>
  <pageSetup paperSize="9" orientation="portrait" r:id="rId10"/>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23" id="{00000000-000E-0000-1700-00007A000000}">
            <xm:f>AND(Path&lt;&gt;Units!$B$126,Path&lt;&gt;Units!$B$127,Path&lt;&gt;Units!$B$128, Path&lt;&gt;Units!$B$129,Master_Switch="On")</xm:f>
            <x14:dxf>
              <font>
                <color theme="0"/>
              </font>
              <fill>
                <patternFill>
                  <fgColor theme="0"/>
                  <bgColor theme="0"/>
                </patternFill>
              </fill>
              <border>
                <left/>
                <right/>
                <top/>
                <bottom/>
                <vertical/>
                <horizontal/>
              </border>
            </x14:dxf>
          </x14:cfRule>
          <xm:sqref>A2:XFD200</xm:sqref>
        </x14:conditionalFormatting>
        <x14:conditionalFormatting xmlns:xm="http://schemas.microsoft.com/office/excel/2006/main">
          <x14:cfRule type="expression" priority="1" id="{D7A48FC3-B366-4700-B5AC-85CD80E7D731}">
            <xm:f>AND(Initial_questions!$E$73=Units!$H$120,GHG_NG_SPLITTING!$D$3="Default",Master_Switch="On")</xm:f>
            <x14:dxf>
              <font>
                <color theme="0"/>
              </font>
              <fill>
                <patternFill>
                  <fgColor theme="0"/>
                  <bgColor theme="0"/>
                </patternFill>
              </fill>
            </x14:dxf>
          </x14:cfRule>
          <x14:cfRule type="expression" priority="255" id="{73915850-E6A6-43BB-B84E-578347A2FD19}">
            <xm:f>AND(OR(GHG_NG_REFORM_CCS!$D$3="Default",GHG_NG_SPLITTING!$D$3="Default"),Master_Switch="On")</xm:f>
            <x14:dxf>
              <font>
                <color theme="0"/>
              </font>
              <fill>
                <patternFill>
                  <bgColor theme="0"/>
                </patternFill>
              </fill>
              <border>
                <left/>
                <right/>
                <top/>
                <bottom/>
              </border>
            </x14:dxf>
          </x14:cfRule>
          <x14:cfRule type="expression" priority="256" id="{2DB49396-16F6-4567-BFC1-7B9D38C5760E}">
            <xm:f>AND(Initial_questions!$E$73=Units!$H$120,GHG_NG_REFORM_CCS!$D$3="Default",Master_Switch="On")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DA012-F37D-469D-BE81-578411833C01}">
  <sheetPr codeName="Sheet22">
    <tabColor theme="5"/>
  </sheetPr>
  <dimension ref="A1:AC189"/>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55"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18.7265625" customWidth="1"/>
    <col min="16" max="16" width="8.54296875" style="12" customWidth="1"/>
    <col min="17" max="17" width="17.1796875" style="12" customWidth="1"/>
    <col min="18" max="18" width="17.54296875" style="12" customWidth="1"/>
    <col min="19" max="20" width="20.7265625" style="13" customWidth="1"/>
    <col min="21" max="21" width="22.7265625" style="13" customWidth="1"/>
    <col min="22" max="22" width="20.26953125" style="39" customWidth="1"/>
    <col min="23" max="23" width="7.1796875" style="12" customWidth="1"/>
    <col min="24" max="24" width="26" style="12" customWidth="1"/>
    <col min="26" max="16384" width="7.1796875" style="12"/>
  </cols>
  <sheetData>
    <row r="1" spans="1:29" ht="31.9" customHeight="1">
      <c r="A1" s="80" t="str" cm="1">
        <f t="array" ref="A1">IF(AND(Path&lt;&gt;Units!$B$126:$B$129, Master_Switch="On"),"User should not fill in this sheet, but switch to other non-blank GHG worksheets","")</f>
        <v>User should not fill in this sheet, but switch to other non-blank GHG worksheets</v>
      </c>
      <c r="E1" s="256"/>
    </row>
    <row r="2" spans="1:29" ht="20.5" customHeight="1">
      <c r="B2" s="80" t="str">
        <f>IF(OR(AND(Initial_questions!$E$73=Units!$H$120,GHG_NG_REFORM_CCS!$D$3="Default",Master_Switch="On"),AND(Initial_questions!$E$73=Units!$H$120,GHG_NG_SPLITTING!$D$3="Default",Master_Switch="On")), "NSTA data used, move to the next step of the pathway","")</f>
        <v/>
      </c>
      <c r="E2" s="256"/>
      <c r="I2" s="729" t="s">
        <v>1093</v>
      </c>
      <c r="J2" s="731"/>
      <c r="K2" s="732"/>
      <c r="L2" s="39"/>
      <c r="M2" s="39"/>
    </row>
    <row r="3" spans="1:29" ht="15" customHeight="1">
      <c r="E3" s="256"/>
    </row>
    <row r="4" spans="1:29" ht="15.65" customHeight="1" thickBot="1">
      <c r="B4" s="3"/>
      <c r="C4" s="3"/>
      <c r="D4" s="3"/>
      <c r="E4" s="455"/>
      <c r="F4" s="3"/>
      <c r="G4" s="3"/>
      <c r="H4" s="1"/>
      <c r="I4" s="1"/>
      <c r="J4" s="1"/>
      <c r="K4" s="1"/>
      <c r="L4" s="1"/>
      <c r="M4" s="1"/>
      <c r="N4" s="37"/>
      <c r="O4" s="1"/>
      <c r="P4" s="3"/>
      <c r="Q4" s="3"/>
      <c r="R4" s="3"/>
      <c r="S4" s="1"/>
      <c r="T4" s="1"/>
      <c r="U4" s="1"/>
      <c r="V4" s="37"/>
      <c r="W4" s="37"/>
      <c r="X4" s="3"/>
    </row>
    <row r="5" spans="1:29"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9" ht="15" thickTop="1">
      <c r="E6" s="457"/>
      <c r="R6"/>
      <c r="S6"/>
      <c r="T6"/>
      <c r="U6"/>
      <c r="V6"/>
    </row>
    <row r="7" spans="1:29">
      <c r="B7" s="145" t="s">
        <v>1097</v>
      </c>
      <c r="C7" s="145"/>
      <c r="D7" s="145"/>
      <c r="E7" s="324"/>
      <c r="F7" s="145"/>
      <c r="G7" s="145"/>
      <c r="H7" s="145"/>
      <c r="I7" s="145"/>
      <c r="J7" s="145"/>
      <c r="K7" s="145"/>
      <c r="L7" s="145"/>
      <c r="M7" s="145"/>
      <c r="N7" s="301"/>
      <c r="R7"/>
      <c r="S7"/>
      <c r="T7"/>
      <c r="U7"/>
      <c r="V7"/>
      <c r="W7" s="19"/>
      <c r="X7" s="19"/>
      <c r="Y7" s="19"/>
      <c r="Z7" s="19"/>
      <c r="AA7" s="19"/>
      <c r="AB7" s="19"/>
      <c r="AC7" s="19"/>
    </row>
    <row r="8" spans="1:29">
      <c r="B8" s="16" t="s">
        <v>1115</v>
      </c>
      <c r="C8" s="184" t="s">
        <v>1105</v>
      </c>
      <c r="D8" s="179" t="s">
        <v>459</v>
      </c>
      <c r="E8" s="35"/>
      <c r="F8" s="21"/>
      <c r="G8" s="21"/>
      <c r="H8" s="20"/>
      <c r="I8" s="20"/>
      <c r="J8" s="300"/>
      <c r="K8" s="302"/>
      <c r="L8" s="302"/>
      <c r="M8" s="302"/>
      <c r="N8" s="242">
        <f t="shared" ref="N8:N17" si="0">IF($D8="MWh/yr (LHV)",$E8,$J8*$E8*(1-$L8)/Conversion_kWh_to_MJ)</f>
        <v>0</v>
      </c>
      <c r="O8" s="12"/>
      <c r="S8" s="107"/>
      <c r="T8" s="107"/>
      <c r="U8" s="107"/>
      <c r="V8" s="12"/>
      <c r="X8" s="24"/>
      <c r="Y8" s="12"/>
    </row>
    <row r="9" spans="1:29">
      <c r="B9" s="186" t="s">
        <v>1021</v>
      </c>
      <c r="C9" s="184" t="s">
        <v>1098</v>
      </c>
      <c r="D9" s="179" t="s">
        <v>479</v>
      </c>
      <c r="E9" s="35"/>
      <c r="F9" s="21"/>
      <c r="G9" s="21"/>
      <c r="H9" s="20"/>
      <c r="I9" s="36"/>
      <c r="J9" s="300"/>
      <c r="K9" s="302"/>
      <c r="L9" s="302"/>
      <c r="M9" s="302"/>
      <c r="N9" s="242">
        <f t="shared" si="0"/>
        <v>0</v>
      </c>
      <c r="O9" s="12"/>
      <c r="S9" s="35" t="str">
        <f t="shared" ref="S9:S10" si="1">IF(B9="", "", IF(D9="MWh/yr (LHV)", "Use column to right", "Enter data here"))</f>
        <v>Use column to right</v>
      </c>
      <c r="T9" s="300" t="e">
        <f>INDEX(Proj_grid_intensity_kWh,MATCH(Operations_year,Proj_grid_year,0))/Conversion_kWh_to_MJ</f>
        <v>#N/A</v>
      </c>
      <c r="U9" s="35" t="s">
        <v>1064</v>
      </c>
      <c r="V9" s="242" t="str">
        <f t="shared" ref="V9:V17" si="2">IFERROR(IF(D9="tonnes/yr", $S9*$E9/($N$20*3.6), $T9*$E9*3.6/($N$20*3.6)), "Unfilled fields to left")</f>
        <v>Unfilled fields to left</v>
      </c>
      <c r="X9" s="25"/>
      <c r="Y9" s="12"/>
    </row>
    <row r="10" spans="1:29">
      <c r="B10" s="186" t="s">
        <v>1021</v>
      </c>
      <c r="C10" s="184"/>
      <c r="D10" s="179"/>
      <c r="E10" s="35"/>
      <c r="F10" s="21"/>
      <c r="G10" s="21"/>
      <c r="H10" s="20"/>
      <c r="I10" s="36"/>
      <c r="J10" s="300"/>
      <c r="K10" s="302"/>
      <c r="L10" s="302"/>
      <c r="M10" s="302"/>
      <c r="N10" s="242">
        <f t="shared" si="0"/>
        <v>0</v>
      </c>
      <c r="O10" s="12"/>
      <c r="S10" s="35" t="str">
        <f t="shared" si="1"/>
        <v>Enter data here</v>
      </c>
      <c r="T10" s="35" t="str">
        <f t="shared" ref="T10" si="3">IF(B10="", "", IF(D10="MWh/yr (LHV)", "Enter data here", "Use column to left"))</f>
        <v>Use column to left</v>
      </c>
      <c r="U10" s="35" t="s">
        <v>1100</v>
      </c>
      <c r="V10" s="242" t="str">
        <f t="shared" si="2"/>
        <v>Unfilled fields to left</v>
      </c>
      <c r="X10" s="25"/>
      <c r="Y10" s="12"/>
    </row>
    <row r="11" spans="1:29">
      <c r="B11" s="186" t="s">
        <v>1042</v>
      </c>
      <c r="C11" s="184" t="s">
        <v>1043</v>
      </c>
      <c r="D11" s="179" t="s">
        <v>459</v>
      </c>
      <c r="E11" s="35"/>
      <c r="F11" s="21"/>
      <c r="G11" s="21"/>
      <c r="H11" s="20"/>
      <c r="I11" s="36"/>
      <c r="J11" s="300"/>
      <c r="K11" s="302"/>
      <c r="L11" s="302"/>
      <c r="M11" s="302"/>
      <c r="N11" s="242">
        <f t="shared" si="0"/>
        <v>0</v>
      </c>
      <c r="O11" s="12"/>
      <c r="S11" s="35" t="str">
        <f t="shared" ref="S11:S17" si="4">IF(B11="", "", IF(D11="MWh/yr (LHV)", "Use column to right", "Enter data here"))</f>
        <v>Enter data here</v>
      </c>
      <c r="T11" s="35" t="str">
        <f t="shared" ref="T11:T17" si="5">IF(B11="", "", IF(D11="MWh/yr (LHV)", "Enter data here", "Use column to left"))</f>
        <v>Use column to left</v>
      </c>
      <c r="U11" s="35" t="s">
        <v>1100</v>
      </c>
      <c r="V11" s="242" t="str">
        <f t="shared" si="2"/>
        <v>Unfilled fields to left</v>
      </c>
      <c r="X11" s="25"/>
      <c r="Y11" s="12"/>
    </row>
    <row r="12" spans="1:29">
      <c r="B12" s="186" t="s">
        <v>1042</v>
      </c>
      <c r="C12" s="184" t="s">
        <v>1045</v>
      </c>
      <c r="D12" s="179" t="s">
        <v>459</v>
      </c>
      <c r="E12" s="35"/>
      <c r="F12" s="21"/>
      <c r="G12" s="21"/>
      <c r="H12" s="20"/>
      <c r="I12" s="36"/>
      <c r="J12" s="300"/>
      <c r="K12" s="302"/>
      <c r="L12" s="302"/>
      <c r="M12" s="302"/>
      <c r="N12" s="242">
        <f t="shared" si="0"/>
        <v>0</v>
      </c>
      <c r="O12" s="12"/>
      <c r="S12" s="35" t="str">
        <f t="shared" si="4"/>
        <v>Enter data here</v>
      </c>
      <c r="T12" s="35" t="str">
        <f t="shared" si="5"/>
        <v>Use column to left</v>
      </c>
      <c r="U12" s="35" t="s">
        <v>1100</v>
      </c>
      <c r="V12" s="242" t="str">
        <f t="shared" si="2"/>
        <v>Unfilled fields to left</v>
      </c>
      <c r="X12" s="25"/>
      <c r="Y12" s="12"/>
    </row>
    <row r="13" spans="1:29">
      <c r="B13" s="186" t="s">
        <v>1051</v>
      </c>
      <c r="C13" s="184" t="s">
        <v>1010</v>
      </c>
      <c r="D13" s="179" t="s">
        <v>459</v>
      </c>
      <c r="E13" s="35"/>
      <c r="F13" s="21"/>
      <c r="G13" s="21"/>
      <c r="H13" s="20"/>
      <c r="I13" s="36"/>
      <c r="J13" s="300"/>
      <c r="K13" s="302"/>
      <c r="L13" s="302"/>
      <c r="M13" s="302"/>
      <c r="N13" s="242">
        <f t="shared" si="0"/>
        <v>0</v>
      </c>
      <c r="O13" s="12"/>
      <c r="S13" s="35" t="str">
        <f t="shared" si="4"/>
        <v>Enter data here</v>
      </c>
      <c r="T13" s="35" t="str">
        <f t="shared" si="5"/>
        <v>Use column to left</v>
      </c>
      <c r="U13" s="35" t="s">
        <v>1100</v>
      </c>
      <c r="V13" s="242" t="str">
        <f t="shared" si="2"/>
        <v>Unfilled fields to left</v>
      </c>
      <c r="X13" s="25"/>
      <c r="Y13" s="12"/>
    </row>
    <row r="14" spans="1:29">
      <c r="B14" s="186" t="s">
        <v>1051</v>
      </c>
      <c r="C14" s="184" t="s">
        <v>1101</v>
      </c>
      <c r="D14" s="179" t="s">
        <v>459</v>
      </c>
      <c r="E14" s="35"/>
      <c r="F14" s="21"/>
      <c r="G14" s="21"/>
      <c r="H14" s="20"/>
      <c r="I14" s="36"/>
      <c r="J14" s="300"/>
      <c r="K14" s="302"/>
      <c r="L14" s="302"/>
      <c r="M14" s="302"/>
      <c r="N14" s="242">
        <f t="shared" si="0"/>
        <v>0</v>
      </c>
      <c r="O14" s="12"/>
      <c r="S14" s="35" t="str">
        <f t="shared" si="4"/>
        <v>Enter data here</v>
      </c>
      <c r="T14" s="35" t="str">
        <f t="shared" si="5"/>
        <v>Use column to left</v>
      </c>
      <c r="U14" s="35" t="s">
        <v>1100</v>
      </c>
      <c r="V14" s="242" t="str">
        <f t="shared" si="2"/>
        <v>Unfilled fields to left</v>
      </c>
      <c r="X14" s="25"/>
      <c r="Y14" s="12"/>
    </row>
    <row r="15" spans="1:29">
      <c r="B15" s="186" t="s">
        <v>1102</v>
      </c>
      <c r="C15" s="184" t="s">
        <v>1055</v>
      </c>
      <c r="D15" s="179" t="s">
        <v>459</v>
      </c>
      <c r="E15" s="35"/>
      <c r="F15" s="21"/>
      <c r="G15" s="21"/>
      <c r="H15" s="20"/>
      <c r="I15" s="36"/>
      <c r="J15" s="300"/>
      <c r="K15" s="302"/>
      <c r="L15" s="302"/>
      <c r="M15" s="302"/>
      <c r="N15" s="242">
        <f t="shared" si="0"/>
        <v>0</v>
      </c>
      <c r="O15" s="12"/>
      <c r="S15" s="35" t="str">
        <f t="shared" si="4"/>
        <v>Enter data here</v>
      </c>
      <c r="T15" s="35" t="str">
        <f t="shared" si="5"/>
        <v>Use column to left</v>
      </c>
      <c r="U15" s="35" t="s">
        <v>1100</v>
      </c>
      <c r="V15" s="242" t="str">
        <f t="shared" si="2"/>
        <v>Unfilled fields to left</v>
      </c>
      <c r="X15" s="25"/>
      <c r="Y15" s="12"/>
    </row>
    <row r="16" spans="1:29">
      <c r="B16" s="186" t="s">
        <v>1102</v>
      </c>
      <c r="C16" s="184"/>
      <c r="D16" s="179"/>
      <c r="E16" s="35"/>
      <c r="F16" s="21"/>
      <c r="G16" s="21"/>
      <c r="H16" s="20"/>
      <c r="I16" s="36"/>
      <c r="J16" s="300"/>
      <c r="K16" s="302"/>
      <c r="L16" s="302"/>
      <c r="M16" s="302"/>
      <c r="N16" s="242">
        <f t="shared" si="0"/>
        <v>0</v>
      </c>
      <c r="O16" s="12"/>
      <c r="S16" s="35" t="str">
        <f t="shared" si="4"/>
        <v>Enter data here</v>
      </c>
      <c r="T16" s="35" t="str">
        <f t="shared" si="5"/>
        <v>Use column to left</v>
      </c>
      <c r="U16" s="35" t="s">
        <v>1100</v>
      </c>
      <c r="V16" s="242" t="str">
        <f t="shared" si="2"/>
        <v>Unfilled fields to left</v>
      </c>
      <c r="X16" s="25"/>
      <c r="Y16" s="12"/>
    </row>
    <row r="17" spans="2:29">
      <c r="B17" s="16"/>
      <c r="C17" s="15"/>
      <c r="D17" s="179"/>
      <c r="E17" s="35"/>
      <c r="F17" s="21"/>
      <c r="G17" s="21"/>
      <c r="H17" s="20"/>
      <c r="I17" s="36"/>
      <c r="J17" s="300"/>
      <c r="K17" s="302"/>
      <c r="L17" s="302"/>
      <c r="M17" s="302"/>
      <c r="N17" s="242">
        <f t="shared" si="0"/>
        <v>0</v>
      </c>
      <c r="O17" s="12"/>
      <c r="S17" s="35" t="str">
        <f t="shared" si="4"/>
        <v/>
      </c>
      <c r="T17" s="35" t="str">
        <f t="shared" si="5"/>
        <v/>
      </c>
      <c r="U17" s="35"/>
      <c r="V17" s="242" t="str">
        <f t="shared" si="2"/>
        <v>Unfilled fields to left</v>
      </c>
      <c r="X17" s="25"/>
      <c r="Y17" s="12"/>
    </row>
    <row r="18" spans="2:29">
      <c r="C18" s="17"/>
      <c r="D18" s="17"/>
      <c r="E18" s="506"/>
      <c r="F18" s="26"/>
      <c r="G18" s="27"/>
      <c r="H18" s="22"/>
      <c r="I18" s="22"/>
      <c r="J18" s="41"/>
      <c r="K18" s="41"/>
      <c r="L18" s="41"/>
      <c r="M18" s="41"/>
      <c r="N18" s="41"/>
      <c r="O18" s="12"/>
      <c r="S18" s="41"/>
      <c r="T18" s="41"/>
      <c r="U18" s="41"/>
      <c r="V18" s="41"/>
      <c r="X18" s="27"/>
      <c r="Y18" s="12"/>
    </row>
    <row r="19" spans="2:29">
      <c r="B19" s="145" t="s">
        <v>1103</v>
      </c>
      <c r="C19" s="145"/>
      <c r="D19" s="145"/>
      <c r="E19" s="301"/>
      <c r="F19" s="145"/>
      <c r="G19" s="145"/>
      <c r="H19" s="145"/>
      <c r="I19" s="145"/>
      <c r="J19" s="301"/>
      <c r="K19" s="301"/>
      <c r="L19" s="301"/>
      <c r="M19" s="301"/>
      <c r="N19" s="301"/>
      <c r="R19"/>
      <c r="S19" s="40"/>
      <c r="T19" s="40"/>
      <c r="U19" s="40"/>
      <c r="V19" s="40"/>
      <c r="W19" s="19"/>
      <c r="X19" s="19"/>
      <c r="Y19" s="19"/>
      <c r="Z19" s="19"/>
      <c r="AA19" s="19"/>
      <c r="AB19" s="19"/>
      <c r="AC19" s="19"/>
    </row>
    <row r="20" spans="2:29">
      <c r="B20" s="16" t="s">
        <v>1104</v>
      </c>
      <c r="C20" s="184" t="s">
        <v>1105</v>
      </c>
      <c r="D20" s="179" t="s">
        <v>459</v>
      </c>
      <c r="E20" s="35"/>
      <c r="F20" s="21"/>
      <c r="G20" s="21"/>
      <c r="H20" s="21"/>
      <c r="I20" s="21"/>
      <c r="J20" s="300"/>
      <c r="K20" s="306"/>
      <c r="L20" s="306"/>
      <c r="M20" s="306"/>
      <c r="N20" s="242">
        <f t="shared" ref="N20:N32" si="6">IF($D20="MWh/yr (LHV)",$E20,$J20*$E20*(1-$L20)/Conversion_kWh_to_MJ)</f>
        <v>0</v>
      </c>
      <c r="O20" s="246" t="str">
        <f>IFERROR(N20/N8,"")</f>
        <v/>
      </c>
      <c r="Q20" s="515">
        <f>IF($D20="MWh/yr (LHV)",$E20,$E20*MAX(0, $J20*(1-$L20)-2.441*$L20)/Conversion_kWh_to_MJ)</f>
        <v>0</v>
      </c>
      <c r="R20" s="245" t="str">
        <f>IFERROR(Q20/(SUM($Q$20:$Q$22)),"")</f>
        <v/>
      </c>
      <c r="S20" s="42"/>
      <c r="T20" s="42"/>
      <c r="U20" s="42"/>
      <c r="V20" s="42"/>
      <c r="X20" s="21"/>
      <c r="Y20" s="12"/>
    </row>
    <row r="21" spans="2:29" s="14" customFormat="1">
      <c r="B21" s="186" t="s">
        <v>1008</v>
      </c>
      <c r="C21" s="184" t="s">
        <v>1106</v>
      </c>
      <c r="D21" s="179" t="s">
        <v>459</v>
      </c>
      <c r="E21" s="35"/>
      <c r="F21" s="21"/>
      <c r="G21" s="21"/>
      <c r="H21" s="20"/>
      <c r="I21" s="33"/>
      <c r="J21" s="300"/>
      <c r="K21" s="302"/>
      <c r="L21" s="302"/>
      <c r="M21" s="302"/>
      <c r="N21" s="242">
        <f t="shared" si="6"/>
        <v>0</v>
      </c>
      <c r="O21" s="12"/>
      <c r="P21" s="12"/>
      <c r="Q21" s="515">
        <f>IF($D21="MWh/yr (LHV)",$E21,$E21*MAX(0, $J21*(1-$L21)-2.441*$L21)/Conversion_kWh_to_MJ)</f>
        <v>0</v>
      </c>
      <c r="R21" s="245" t="str">
        <f t="shared" ref="R21:R22" si="7">IFERROR(Q21/(SUM($Q$20:$Q$22)),"")</f>
        <v/>
      </c>
      <c r="S21" s="42"/>
      <c r="T21" s="42"/>
      <c r="U21" s="107"/>
      <c r="V21" s="12"/>
      <c r="W21" s="23"/>
      <c r="X21" s="21"/>
      <c r="Y21" s="23"/>
      <c r="Z21" s="42"/>
      <c r="AB21" s="12"/>
    </row>
    <row r="22" spans="2:29" s="14" customFormat="1">
      <c r="B22" s="186" t="s">
        <v>1008</v>
      </c>
      <c r="C22" s="184" t="s">
        <v>1107</v>
      </c>
      <c r="D22" s="179" t="s">
        <v>459</v>
      </c>
      <c r="E22" s="35"/>
      <c r="F22" s="21"/>
      <c r="G22" s="21"/>
      <c r="H22" s="20"/>
      <c r="I22" s="20"/>
      <c r="J22" s="302"/>
      <c r="K22" s="302"/>
      <c r="L22" s="302"/>
      <c r="M22" s="302"/>
      <c r="N22" s="242">
        <f t="shared" si="6"/>
        <v>0</v>
      </c>
      <c r="O22" s="12"/>
      <c r="P22" s="12"/>
      <c r="Q22" s="515">
        <f>IF($D22="MWh/yr (LHV)",$E22,$E22*MAX(0, $J22*(1-$L22)-2.441*$L22)/Conversion_kWh_to_MJ)</f>
        <v>0</v>
      </c>
      <c r="R22" s="245" t="str">
        <f t="shared" si="7"/>
        <v/>
      </c>
      <c r="S22" s="42"/>
      <c r="T22" s="42"/>
      <c r="U22" s="107"/>
      <c r="V22" s="12"/>
      <c r="W22" s="23"/>
      <c r="X22" s="21"/>
      <c r="Y22" s="23"/>
      <c r="Z22" s="42"/>
      <c r="AB22" s="12"/>
    </row>
    <row r="23" spans="2:29" s="14" customFormat="1">
      <c r="B23" s="186" t="s">
        <v>1013</v>
      </c>
      <c r="C23" s="184" t="s">
        <v>1108</v>
      </c>
      <c r="D23" s="179" t="s">
        <v>459</v>
      </c>
      <c r="E23" s="35"/>
      <c r="F23" s="21"/>
      <c r="G23" s="21"/>
      <c r="H23" s="20"/>
      <c r="I23" s="20"/>
      <c r="J23" s="302"/>
      <c r="K23" s="302"/>
      <c r="L23" s="302"/>
      <c r="M23" s="302"/>
      <c r="N23" s="242">
        <f t="shared" si="6"/>
        <v>0</v>
      </c>
      <c r="O23" s="12"/>
      <c r="P23" s="12"/>
      <c r="Q23" s="12"/>
      <c r="R23" s="12"/>
      <c r="S23" s="107"/>
      <c r="T23" s="107"/>
      <c r="U23" s="107"/>
      <c r="V23" s="12"/>
      <c r="W23" s="23"/>
      <c r="X23" s="21"/>
      <c r="Y23" s="23"/>
      <c r="Z23" s="42"/>
      <c r="AB23" s="12"/>
    </row>
    <row r="24" spans="2:29" s="14" customFormat="1">
      <c r="B24" s="186" t="s">
        <v>1013</v>
      </c>
      <c r="C24" s="184" t="s">
        <v>1015</v>
      </c>
      <c r="D24" s="179" t="s">
        <v>459</v>
      </c>
      <c r="E24" s="35"/>
      <c r="F24" s="21"/>
      <c r="G24" s="21"/>
      <c r="H24" s="20"/>
      <c r="I24" s="20"/>
      <c r="J24" s="302"/>
      <c r="K24" s="302"/>
      <c r="L24" s="302"/>
      <c r="M24" s="302"/>
      <c r="N24" s="242">
        <f t="shared" si="6"/>
        <v>0</v>
      </c>
      <c r="O24" s="12"/>
      <c r="P24" s="12"/>
      <c r="Q24" s="12"/>
      <c r="R24" s="12"/>
      <c r="S24" s="107"/>
      <c r="T24" s="107"/>
      <c r="U24" s="107"/>
      <c r="V24" s="12"/>
      <c r="W24" s="23"/>
      <c r="X24" s="21"/>
      <c r="Y24" s="23"/>
      <c r="Z24" s="42"/>
      <c r="AB24" s="12"/>
    </row>
    <row r="25" spans="2:29" s="14" customFormat="1">
      <c r="B25" s="186" t="s">
        <v>1016</v>
      </c>
      <c r="C25" s="184" t="s">
        <v>1017</v>
      </c>
      <c r="D25" s="179" t="s">
        <v>459</v>
      </c>
      <c r="E25" s="35"/>
      <c r="F25" s="21"/>
      <c r="G25" s="21"/>
      <c r="H25" s="20"/>
      <c r="I25" s="36"/>
      <c r="J25" s="300"/>
      <c r="K25" s="302"/>
      <c r="L25" s="302"/>
      <c r="M25" s="302"/>
      <c r="N25" s="242">
        <f t="shared" si="6"/>
        <v>0</v>
      </c>
      <c r="O25" s="12"/>
      <c r="P25" s="12"/>
      <c r="Q25" s="12"/>
      <c r="R25" s="12"/>
      <c r="S25" s="107"/>
      <c r="T25" s="107"/>
      <c r="U25" s="107"/>
      <c r="V25" s="12"/>
      <c r="X25" s="21"/>
    </row>
    <row r="26" spans="2:29" s="14" customFormat="1">
      <c r="B26" s="186" t="s">
        <v>1016</v>
      </c>
      <c r="C26" s="184" t="s">
        <v>1018</v>
      </c>
      <c r="D26" s="179" t="s">
        <v>459</v>
      </c>
      <c r="E26" s="35"/>
      <c r="F26" s="21"/>
      <c r="G26" s="21"/>
      <c r="H26" s="20"/>
      <c r="I26" s="36"/>
      <c r="J26" s="300"/>
      <c r="K26" s="302"/>
      <c r="L26" s="302"/>
      <c r="M26" s="302"/>
      <c r="N26" s="242">
        <f t="shared" si="6"/>
        <v>0</v>
      </c>
      <c r="O26" s="12"/>
      <c r="P26" s="12"/>
      <c r="Q26" s="12"/>
      <c r="R26" s="12"/>
      <c r="S26" s="107"/>
      <c r="T26" s="107"/>
      <c r="U26" s="107"/>
      <c r="V26" s="12"/>
      <c r="X26" s="21"/>
    </row>
    <row r="27" spans="2:29" s="14" customFormat="1">
      <c r="B27" s="186" t="s">
        <v>1057</v>
      </c>
      <c r="C27" s="184" t="s">
        <v>1109</v>
      </c>
      <c r="D27" s="179" t="s">
        <v>459</v>
      </c>
      <c r="E27" s="35"/>
      <c r="F27" s="34"/>
      <c r="G27" s="21"/>
      <c r="H27" s="20"/>
      <c r="I27" s="36"/>
      <c r="J27" s="300"/>
      <c r="K27" s="302"/>
      <c r="L27" s="302"/>
      <c r="M27" s="302"/>
      <c r="N27" s="242">
        <f t="shared" si="6"/>
        <v>0</v>
      </c>
      <c r="O27" s="12"/>
      <c r="P27" s="12"/>
      <c r="Q27" s="12"/>
      <c r="R27" s="12"/>
      <c r="S27" s="300">
        <v>1000</v>
      </c>
      <c r="T27" s="477"/>
      <c r="U27" s="35" t="s">
        <v>1110</v>
      </c>
      <c r="V27" s="242" t="str">
        <f t="shared" ref="V27:V32" si="8">IFERROR(IF(D27="tonnes/yr", $S27*$E27/($N$20*3.6), $T27*$E27*3.6/($N$20*3.6)), "Unfilled fields to left")</f>
        <v>Unfilled fields to left</v>
      </c>
      <c r="X27" s="21"/>
    </row>
    <row r="28" spans="2:29" s="14" customFormat="1">
      <c r="B28" s="186" t="s">
        <v>1070</v>
      </c>
      <c r="C28" s="184" t="s">
        <v>1111</v>
      </c>
      <c r="D28" s="179" t="s">
        <v>459</v>
      </c>
      <c r="E28" s="35">
        <f>E27*E37</f>
        <v>0</v>
      </c>
      <c r="F28" s="34"/>
      <c r="G28" s="21"/>
      <c r="H28" s="20"/>
      <c r="I28" s="36"/>
      <c r="J28" s="300"/>
      <c r="K28" s="302"/>
      <c r="L28" s="302"/>
      <c r="M28" s="302"/>
      <c r="N28" s="242">
        <f t="shared" si="6"/>
        <v>0</v>
      </c>
      <c r="O28" s="12"/>
      <c r="P28" s="12"/>
      <c r="Q28" s="12"/>
      <c r="R28" s="12"/>
      <c r="S28" s="300">
        <v>-1000</v>
      </c>
      <c r="T28" s="477"/>
      <c r="U28" s="35" t="s">
        <v>1112</v>
      </c>
      <c r="V28" s="242" t="str">
        <f t="shared" si="8"/>
        <v>Unfilled fields to left</v>
      </c>
      <c r="X28" s="21"/>
    </row>
    <row r="29" spans="2:29" s="14" customFormat="1">
      <c r="B29" s="186" t="s">
        <v>1113</v>
      </c>
      <c r="C29" s="184" t="s">
        <v>1073</v>
      </c>
      <c r="D29" s="179" t="s">
        <v>459</v>
      </c>
      <c r="E29" s="35"/>
      <c r="F29" s="34"/>
      <c r="G29" s="21"/>
      <c r="H29" s="20"/>
      <c r="I29" s="36"/>
      <c r="J29" s="300"/>
      <c r="K29" s="302"/>
      <c r="L29" s="302"/>
      <c r="M29" s="302"/>
      <c r="N29" s="242">
        <f t="shared" si="6"/>
        <v>0</v>
      </c>
      <c r="O29" s="12"/>
      <c r="P29" s="12"/>
      <c r="Q29" s="12"/>
      <c r="R29" s="12"/>
      <c r="S29" s="300">
        <f>28*1000</f>
        <v>28000</v>
      </c>
      <c r="T29" s="477"/>
      <c r="U29" s="35" t="s">
        <v>1059</v>
      </c>
      <c r="V29" s="242" t="str">
        <f t="shared" si="8"/>
        <v>Unfilled fields to left</v>
      </c>
      <c r="X29" s="21"/>
    </row>
    <row r="30" spans="2:29" s="14" customFormat="1">
      <c r="B30" s="186" t="s">
        <v>1113</v>
      </c>
      <c r="C30" s="184" t="s">
        <v>1075</v>
      </c>
      <c r="D30" s="179" t="s">
        <v>459</v>
      </c>
      <c r="E30" s="35"/>
      <c r="F30" s="21"/>
      <c r="G30" s="21"/>
      <c r="H30" s="20"/>
      <c r="I30" s="36"/>
      <c r="J30" s="300"/>
      <c r="K30" s="302"/>
      <c r="L30" s="302"/>
      <c r="M30" s="302"/>
      <c r="N30" s="242">
        <f t="shared" si="6"/>
        <v>0</v>
      </c>
      <c r="O30" s="12"/>
      <c r="P30" s="12"/>
      <c r="Q30" s="12"/>
      <c r="R30" s="12"/>
      <c r="S30" s="35">
        <v>265000</v>
      </c>
      <c r="T30" s="518"/>
      <c r="U30" s="35" t="s">
        <v>1059</v>
      </c>
      <c r="V30" s="242" t="str">
        <f t="shared" si="8"/>
        <v>Unfilled fields to left</v>
      </c>
      <c r="X30" s="21"/>
    </row>
    <row r="31" spans="2:29" s="14" customFormat="1">
      <c r="B31" s="16"/>
      <c r="C31" s="15"/>
      <c r="D31" s="179"/>
      <c r="E31" s="35"/>
      <c r="F31" s="21"/>
      <c r="G31" s="21"/>
      <c r="H31" s="20"/>
      <c r="I31" s="36"/>
      <c r="J31" s="300"/>
      <c r="K31" s="302"/>
      <c r="L31" s="302"/>
      <c r="M31" s="302"/>
      <c r="N31" s="242">
        <f t="shared" si="6"/>
        <v>0</v>
      </c>
      <c r="O31" s="12"/>
      <c r="P31" s="12"/>
      <c r="Q31" s="12"/>
      <c r="R31" s="12"/>
      <c r="S31" s="300"/>
      <c r="T31" s="477"/>
      <c r="U31" s="302"/>
      <c r="V31" s="242" t="str">
        <f t="shared" si="8"/>
        <v>Unfilled fields to left</v>
      </c>
      <c r="X31" s="21"/>
    </row>
    <row r="32" spans="2:29" s="14" customFormat="1">
      <c r="B32" s="16"/>
      <c r="C32" s="15"/>
      <c r="D32" s="179"/>
      <c r="E32" s="35"/>
      <c r="F32" s="21"/>
      <c r="G32" s="21"/>
      <c r="H32" s="20"/>
      <c r="I32" s="36"/>
      <c r="J32" s="300"/>
      <c r="K32" s="302"/>
      <c r="L32" s="302"/>
      <c r="M32" s="302"/>
      <c r="N32" s="242">
        <f t="shared" si="6"/>
        <v>0</v>
      </c>
      <c r="O32" s="12"/>
      <c r="P32" s="12"/>
      <c r="Q32" s="12"/>
      <c r="R32" s="12"/>
      <c r="S32" s="300"/>
      <c r="T32" s="477"/>
      <c r="U32" s="302"/>
      <c r="V32" s="242" t="str">
        <f t="shared" si="8"/>
        <v>Unfilled fields to left</v>
      </c>
      <c r="X32" s="21"/>
    </row>
    <row r="33" spans="2:25">
      <c r="C33" s="17"/>
      <c r="D33" s="17"/>
      <c r="E33" s="140"/>
      <c r="F33" s="17"/>
      <c r="H33" s="18"/>
      <c r="I33" s="18"/>
      <c r="J33" s="40"/>
      <c r="K33" s="40"/>
      <c r="L33" s="40"/>
      <c r="M33" s="40"/>
      <c r="N33" s="40"/>
      <c r="O33" s="12"/>
      <c r="S33" s="40"/>
      <c r="T33" s="40"/>
      <c r="U33" s="40"/>
      <c r="V33" s="40"/>
      <c r="Y33" s="12"/>
    </row>
    <row r="34" spans="2:25">
      <c r="D34" s="17"/>
      <c r="E34" s="140"/>
      <c r="J34" s="39"/>
      <c r="K34" s="39"/>
      <c r="L34" s="39"/>
      <c r="M34" s="39"/>
      <c r="O34" s="12"/>
      <c r="S34" s="39"/>
      <c r="T34" s="39"/>
      <c r="U34" s="38" t="s">
        <v>1114</v>
      </c>
      <c r="V34" s="153">
        <f>SUM(V7:V33)</f>
        <v>0</v>
      </c>
      <c r="Y34" s="12"/>
    </row>
    <row r="35" spans="2:25">
      <c r="B35" s="145" t="s">
        <v>132</v>
      </c>
      <c r="C35" s="159"/>
      <c r="D35" s="159"/>
      <c r="E35" s="499"/>
      <c r="I35" s="12"/>
      <c r="J35" s="107"/>
      <c r="K35" s="107"/>
      <c r="L35" s="107"/>
      <c r="M35" s="107"/>
      <c r="N35" s="107"/>
      <c r="O35" s="12"/>
      <c r="S35" s="107"/>
      <c r="T35" s="107"/>
      <c r="U35" s="107"/>
      <c r="Y35" s="12"/>
    </row>
    <row r="36" spans="2:25">
      <c r="B36" s="16" t="s">
        <v>1086</v>
      </c>
      <c r="C36" s="15" t="s">
        <v>1087</v>
      </c>
      <c r="D36" s="15" t="s">
        <v>1088</v>
      </c>
      <c r="E36" s="501"/>
      <c r="G36" s="19"/>
      <c r="H36" s="12"/>
      <c r="I36" s="12"/>
      <c r="J36" s="107"/>
      <c r="K36" s="107"/>
      <c r="L36" s="107"/>
      <c r="M36" s="107"/>
      <c r="N36" s="107"/>
      <c r="O36" s="12"/>
      <c r="S36" s="107"/>
      <c r="T36" s="107"/>
      <c r="U36" s="107"/>
      <c r="V36" s="12"/>
      <c r="X36" s="25"/>
      <c r="Y36" s="12"/>
    </row>
    <row r="37" spans="2:25">
      <c r="B37" s="16" t="s">
        <v>1091</v>
      </c>
      <c r="C37" s="15" t="s">
        <v>1092</v>
      </c>
      <c r="D37" s="15" t="s">
        <v>785</v>
      </c>
      <c r="E37" s="512"/>
      <c r="H37" s="12"/>
      <c r="I37" s="12"/>
      <c r="J37" s="107"/>
      <c r="K37" s="107"/>
      <c r="L37" s="107"/>
      <c r="M37" s="107"/>
      <c r="N37" s="107"/>
      <c r="O37" s="12"/>
      <c r="S37" s="107"/>
      <c r="T37" s="107"/>
      <c r="U37" s="107"/>
      <c r="V37" s="12"/>
      <c r="X37" s="25"/>
      <c r="Y37" s="12"/>
    </row>
    <row r="38" spans="2:25">
      <c r="B38" s="16"/>
      <c r="C38" s="15"/>
      <c r="D38" s="15"/>
      <c r="E38" s="512"/>
      <c r="J38" s="39"/>
      <c r="K38" s="39"/>
      <c r="L38" s="39"/>
      <c r="M38" s="39"/>
      <c r="S38" s="39"/>
      <c r="T38" s="39"/>
      <c r="U38" s="39"/>
      <c r="X38" s="25"/>
    </row>
    <row r="39" spans="2:25">
      <c r="B39" s="16"/>
      <c r="C39" s="15"/>
      <c r="D39" s="15"/>
      <c r="E39" s="507"/>
      <c r="J39" s="39"/>
      <c r="K39" s="39"/>
      <c r="L39" s="39"/>
      <c r="M39" s="39"/>
      <c r="S39" s="39"/>
      <c r="T39" s="39"/>
      <c r="U39" s="39"/>
      <c r="X39" s="25"/>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L122" s="39"/>
      <c r="M122" s="39"/>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C2" sqref="C2:E2"/>
      <pageMargins left="0" right="0" top="0" bottom="0" header="0" footer="0"/>
      <pageSetup paperSize="9" orientation="portrait" r:id="rId3"/>
    </customSheetView>
    <customSheetView guid="{3F0A4FBA-5323-448F-A023-B3E14C54064C}" showGridLines="0">
      <pane xSplit="3" ySplit="5" topLeftCell="N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N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2" xr:uid="{B4091724-DB3C-40AE-8136-7E3F4BF7E8DF}">
      <formula1>Flow_units</formula1>
    </dataValidation>
    <dataValidation type="custom" allowBlank="1" showInputMessage="1" showErrorMessage="1" error="Please do not change this formula" prompt="Please do not change this formula" sqref="W4 V6:V1048576 N33:N1048576 V1:V4 P1:R4 Q23:R1048576 R6:R19 N1:N7 N18:N19 P21:P1048576 O4 O6:O19 S5:V5" xr:uid="{B7EB62FE-45E3-43D4-85EF-AB9EA7F01344}">
      <formula1>"Please do not change this formula"</formula1>
    </dataValidation>
    <dataValidation type="custom" allowBlank="1" showInputMessage="1" showErrorMessage="1" error="Please do not change this formula" sqref="O5:R5" xr:uid="{B1313A91-0630-429E-96FA-F44E3D72E5C2}">
      <formula1>"Please do not change this formula"</formula1>
    </dataValidation>
    <dataValidation type="custom" allowBlank="1" showInputMessage="1" showErrorMessage="1" error="Please do not change" sqref="R20:R22" xr:uid="{57D892E8-4654-40F4-A71A-5BDBBA45163A}">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29:T33 S9:T27" xr:uid="{F23DA46E-33AB-4385-B0E7-15082A3BF2F1}">
      <formula1>0</formula1>
    </dataValidation>
  </dataValidations>
  <hyperlinks>
    <hyperlink ref="I2:J2" location="'NG Further Transport'!A1" display="Go to the next step of this pathway" xr:uid="{5A5692F4-F81E-4C96-B615-6ED4D2644601}"/>
    <hyperlink ref="I2:K2" location="NG_Further_Transport!A1" display="Go to the next step of this pathway" xr:uid="{0B118A1A-C0E2-404E-9574-44CC0A9A162D}"/>
  </hyperlinks>
  <pageMargins left="0" right="0" top="0" bottom="0" header="0" footer="0"/>
  <pageSetup paperSize="9" orientation="portrait" r:id="rId10"/>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47" id="{00000000-000E-0000-1800-000092000000}">
            <xm:f>AND(Path&lt;&gt;Units!$B$126,Path&lt;&gt;Units!$B$127,Path&lt;&gt;Units!$B$128, Path&lt;&gt;Units!$B$129,Master_Switch="On")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1" id="{7BAEC88B-C6F6-4F48-982F-9232C4DE329F}">
            <xm:f>AND(Initial_questions!$E$73=Units!$H$120,GHG_NG_SPLITTING!$D$3="Default",Master_Switch="On")</xm:f>
            <x14:dxf>
              <font>
                <color theme="0"/>
              </font>
              <fill>
                <patternFill>
                  <bgColor theme="0"/>
                </patternFill>
              </fill>
              <border>
                <left/>
                <right/>
                <top/>
                <bottom/>
                <vertical/>
                <horizontal/>
              </border>
            </x14:dxf>
          </x14:cfRule>
          <x14:cfRule type="expression" priority="257" id="{C6C35D21-9C1E-4076-99CB-C3CB83ABCB90}">
            <xm:f>AND(Initial_questions!$E$73=Units!$H$120,GHG_NG_REFORM_CCS!$D$3="Default",Master_Switch="On")</xm:f>
            <x14:dxf>
              <font>
                <color theme="0"/>
              </font>
              <fill>
                <patternFill>
                  <bgColor theme="0"/>
                </patternFill>
              </fill>
              <border>
                <left/>
                <right/>
                <top/>
                <bottom/>
                <vertical/>
                <horizontal/>
              </border>
            </x14:dxf>
          </x14:cfRule>
          <x14:cfRule type="expression" priority="258" id="{2243D025-3538-4CBA-B3E9-EFB98731C892}">
            <xm:f>AND(OR(GHG_NG_REFORM_CCS!$D$3="Default",GHG_NG_SPLITTING!$D$3="Default"),Master_Switch="On")</xm:f>
            <x14:dxf>
              <font>
                <color theme="0"/>
              </font>
              <fill>
                <patternFill>
                  <bgColor theme="0"/>
                </patternFill>
              </fill>
              <border>
                <left/>
                <right/>
                <top/>
                <bottom/>
              </border>
            </x14:dxf>
          </x14:cfRule>
          <xm:sqref>A3:XFD200</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93DC4-6D88-4637-AC53-21ABD7F26973}">
  <sheetPr codeName="Sheet23">
    <tabColor theme="5"/>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55"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20.453125" customWidth="1"/>
    <col min="16" max="16" width="8" customWidth="1"/>
    <col min="17" max="17" width="18.81640625" style="12" customWidth="1"/>
    <col min="18" max="18" width="17.54296875" style="12" customWidth="1"/>
    <col min="19" max="20" width="20.7265625" style="13" customWidth="1"/>
    <col min="21" max="21" width="22.7265625" style="13" customWidth="1"/>
    <col min="22" max="22" width="20.26953125" style="39" customWidth="1"/>
    <col min="23" max="23" width="7.1796875" style="12" customWidth="1"/>
    <col min="24" max="24" width="26" style="12" customWidth="1"/>
    <col min="26" max="16384" width="7.1796875" style="12"/>
  </cols>
  <sheetData>
    <row r="1" spans="1:29" ht="31.9" customHeight="1">
      <c r="A1" s="80" t="str" cm="1">
        <f t="array" ref="A1">IF(AND(Path&lt;&gt;Units!$B$126:$B$129, Master_Switch="On"),"User should not fill in this sheet, but switch to other non-blank GHG worksheets","")</f>
        <v>User should not fill in this sheet, but switch to other non-blank GHG worksheets</v>
      </c>
      <c r="E1" s="256"/>
    </row>
    <row r="2" spans="1:29" ht="20.5" customHeight="1">
      <c r="B2" s="80" t="str">
        <f>IF(OR(AND(Initial_questions!$E$73=Units!$H$120,GHG_NG_REFORM_CCS!$D$3="Default",Master_Switch="On"),AND(Initial_questions!$E$73=Units!$H$120,GHG_NG_SPLITTING!$D$3="Default",Master_Switch="On")), "NSTA data used, move to the next step of the pathway","")</f>
        <v/>
      </c>
      <c r="E2" s="256"/>
      <c r="I2" s="733" t="str" cm="1">
        <f t="array" aca="1" ref="I2" ca="1">IF(OR(Path=Units!B126:B128),HYPERLINK(CELL("address",NG_Reforming_CCS!A1),"Go to the next step of this pathway"),IF(Path=Units!B129,HYPERLINK(CELL("address",NG_Splitting_SolidCarbon!A1),"Go to the next step of this pathway"),"Pathway not selected"))</f>
        <v>Pathway not selected</v>
      </c>
      <c r="J2" s="731"/>
      <c r="K2" s="732"/>
      <c r="L2" s="39"/>
      <c r="M2" s="39"/>
    </row>
    <row r="3" spans="1:29" ht="15" customHeight="1">
      <c r="E3" s="256"/>
    </row>
    <row r="4" spans="1:29" ht="15.65" customHeight="1" thickBot="1">
      <c r="B4" s="3"/>
      <c r="C4" s="3"/>
      <c r="D4" s="3"/>
      <c r="E4" s="455"/>
      <c r="F4" s="3"/>
      <c r="G4" s="3"/>
      <c r="H4" s="1"/>
      <c r="I4" s="1"/>
      <c r="J4" s="1"/>
      <c r="K4" s="1"/>
      <c r="L4" s="1"/>
      <c r="M4" s="1"/>
      <c r="N4" s="37"/>
      <c r="O4" s="1"/>
      <c r="P4" s="1"/>
      <c r="Q4" s="3"/>
      <c r="R4" s="3"/>
      <c r="S4" s="1"/>
      <c r="T4" s="1"/>
      <c r="U4" s="1"/>
      <c r="V4" s="37"/>
      <c r="W4" s="37"/>
      <c r="X4" s="3"/>
    </row>
    <row r="5" spans="1:29"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9" ht="15" thickTop="1">
      <c r="E6" s="457"/>
      <c r="Q6"/>
      <c r="R6"/>
      <c r="S6"/>
      <c r="T6"/>
      <c r="U6"/>
      <c r="V6"/>
    </row>
    <row r="7" spans="1:29">
      <c r="B7" s="145" t="s">
        <v>1097</v>
      </c>
      <c r="C7" s="145"/>
      <c r="D7" s="145"/>
      <c r="E7" s="324"/>
      <c r="F7" s="145"/>
      <c r="G7" s="145"/>
      <c r="H7" s="145"/>
      <c r="I7" s="145"/>
      <c r="J7" s="145"/>
      <c r="K7" s="145"/>
      <c r="L7" s="145"/>
      <c r="M7" s="145"/>
      <c r="N7" s="301"/>
      <c r="Q7"/>
      <c r="R7"/>
      <c r="S7"/>
      <c r="T7"/>
      <c r="U7"/>
      <c r="V7"/>
      <c r="W7" s="19"/>
      <c r="X7" s="19"/>
      <c r="Y7" s="19"/>
      <c r="Z7" s="19"/>
      <c r="AA7" s="19"/>
      <c r="AB7" s="19"/>
      <c r="AC7" s="19"/>
    </row>
    <row r="8" spans="1:29">
      <c r="B8" s="16" t="s">
        <v>1115</v>
      </c>
      <c r="C8" s="184" t="s">
        <v>1105</v>
      </c>
      <c r="D8" s="179" t="s">
        <v>459</v>
      </c>
      <c r="E8" s="35"/>
      <c r="F8" s="21"/>
      <c r="G8" s="21"/>
      <c r="H8" s="20"/>
      <c r="I8" s="20"/>
      <c r="J8" s="300"/>
      <c r="K8" s="302"/>
      <c r="L8" s="302"/>
      <c r="M8" s="302"/>
      <c r="N8" s="242">
        <f t="shared" ref="N8:N17" si="0">IF($D8="MWh/yr (LHV)",$E8,$J8*$E8*(1-$L8)/Conversion_kWh_to_MJ)</f>
        <v>0</v>
      </c>
      <c r="O8" s="12"/>
      <c r="P8" s="12"/>
      <c r="S8" s="107"/>
      <c r="T8" s="107"/>
      <c r="U8" s="107"/>
      <c r="V8" s="12"/>
      <c r="X8" s="24"/>
      <c r="Y8" s="12"/>
    </row>
    <row r="9" spans="1:29">
      <c r="B9" s="186" t="s">
        <v>1021</v>
      </c>
      <c r="C9" s="184" t="s">
        <v>1116</v>
      </c>
      <c r="D9" s="179" t="s">
        <v>479</v>
      </c>
      <c r="E9" s="35"/>
      <c r="F9" s="21"/>
      <c r="G9" s="21"/>
      <c r="H9" s="20"/>
      <c r="I9" s="36"/>
      <c r="J9" s="300"/>
      <c r="K9" s="302"/>
      <c r="L9" s="302"/>
      <c r="M9" s="302"/>
      <c r="N9" s="242">
        <f t="shared" si="0"/>
        <v>0</v>
      </c>
      <c r="O9" s="12"/>
      <c r="P9" s="12"/>
      <c r="S9" s="35" t="str">
        <f t="shared" ref="S9:S17" si="1">IF(B9="", "", IF(D9="MWh/yr (LHV)", "Use column to right", "Enter data here"))</f>
        <v>Use column to right</v>
      </c>
      <c r="T9" s="300" t="e">
        <f>INDEX(Proj_grid_intensity_kWh,MATCH(Operations_year,Proj_grid_year,0))/Conversion_kWh_to_MJ</f>
        <v>#N/A</v>
      </c>
      <c r="U9" s="35" t="s">
        <v>1064</v>
      </c>
      <c r="V9" s="242" t="str">
        <f t="shared" ref="V9:V17" si="2">IFERROR(IF(D9="tonnes/yr", $S9*$E9/($N$20*3.6), $T9*$E9*3.6/($N$20*3.6)), "Unfilled fields to left")</f>
        <v>Unfilled fields to left</v>
      </c>
      <c r="X9" s="25"/>
      <c r="Y9" s="12"/>
    </row>
    <row r="10" spans="1:29">
      <c r="B10" s="186" t="s">
        <v>1021</v>
      </c>
      <c r="C10" s="184"/>
      <c r="D10" s="179"/>
      <c r="E10" s="35"/>
      <c r="F10" s="21"/>
      <c r="G10" s="21"/>
      <c r="H10" s="20"/>
      <c r="I10" s="36"/>
      <c r="J10" s="300"/>
      <c r="K10" s="302"/>
      <c r="L10" s="302"/>
      <c r="M10" s="302"/>
      <c r="N10" s="242">
        <f t="shared" si="0"/>
        <v>0</v>
      </c>
      <c r="O10" s="12"/>
      <c r="P10" s="12"/>
      <c r="S10" s="35" t="str">
        <f t="shared" si="1"/>
        <v>Enter data here</v>
      </c>
      <c r="T10" s="35" t="str">
        <f t="shared" ref="T10:T17" si="3">IF(B10="", "", IF(D10="MWh/yr (LHV)", "Enter data here", "Use column to left"))</f>
        <v>Use column to left</v>
      </c>
      <c r="U10" s="35" t="s">
        <v>1100</v>
      </c>
      <c r="V10" s="242" t="str">
        <f t="shared" si="2"/>
        <v>Unfilled fields to left</v>
      </c>
      <c r="X10" s="25"/>
      <c r="Y10" s="12"/>
    </row>
    <row r="11" spans="1:29">
      <c r="B11" s="186" t="s">
        <v>1042</v>
      </c>
      <c r="C11" s="184" t="s">
        <v>1043</v>
      </c>
      <c r="D11" s="179" t="s">
        <v>459</v>
      </c>
      <c r="E11" s="35"/>
      <c r="F11" s="21"/>
      <c r="G11" s="21"/>
      <c r="H11" s="20"/>
      <c r="I11" s="36"/>
      <c r="J11" s="300"/>
      <c r="K11" s="302"/>
      <c r="L11" s="302"/>
      <c r="M11" s="302"/>
      <c r="N11" s="242">
        <f t="shared" si="0"/>
        <v>0</v>
      </c>
      <c r="O11" s="12"/>
      <c r="P11" s="12"/>
      <c r="S11" s="35" t="str">
        <f t="shared" si="1"/>
        <v>Enter data here</v>
      </c>
      <c r="T11" s="35" t="str">
        <f t="shared" si="3"/>
        <v>Use column to left</v>
      </c>
      <c r="U11" s="35" t="s">
        <v>1100</v>
      </c>
      <c r="V11" s="242" t="str">
        <f t="shared" si="2"/>
        <v>Unfilled fields to left</v>
      </c>
      <c r="X11" s="25"/>
      <c r="Y11" s="12"/>
    </row>
    <row r="12" spans="1:29">
      <c r="B12" s="186" t="s">
        <v>1042</v>
      </c>
      <c r="C12" s="184" t="s">
        <v>1045</v>
      </c>
      <c r="D12" s="179" t="s">
        <v>459</v>
      </c>
      <c r="E12" s="35"/>
      <c r="F12" s="21"/>
      <c r="G12" s="21"/>
      <c r="H12" s="20"/>
      <c r="I12" s="36"/>
      <c r="J12" s="300"/>
      <c r="K12" s="302"/>
      <c r="L12" s="302"/>
      <c r="M12" s="302"/>
      <c r="N12" s="242">
        <f t="shared" si="0"/>
        <v>0</v>
      </c>
      <c r="O12" s="12"/>
      <c r="P12" s="12"/>
      <c r="S12" s="35" t="str">
        <f t="shared" si="1"/>
        <v>Enter data here</v>
      </c>
      <c r="T12" s="35" t="str">
        <f t="shared" si="3"/>
        <v>Use column to left</v>
      </c>
      <c r="U12" s="35" t="s">
        <v>1100</v>
      </c>
      <c r="V12" s="242" t="str">
        <f t="shared" si="2"/>
        <v>Unfilled fields to left</v>
      </c>
      <c r="X12" s="25"/>
      <c r="Y12" s="12"/>
    </row>
    <row r="13" spans="1:29">
      <c r="B13" s="186" t="s">
        <v>1051</v>
      </c>
      <c r="C13" s="184" t="s">
        <v>1010</v>
      </c>
      <c r="D13" s="179" t="s">
        <v>459</v>
      </c>
      <c r="E13" s="35"/>
      <c r="F13" s="21"/>
      <c r="G13" s="21"/>
      <c r="H13" s="20"/>
      <c r="I13" s="36"/>
      <c r="J13" s="300"/>
      <c r="K13" s="302"/>
      <c r="L13" s="302"/>
      <c r="M13" s="302"/>
      <c r="N13" s="242">
        <f t="shared" si="0"/>
        <v>0</v>
      </c>
      <c r="O13" s="12"/>
      <c r="P13" s="12"/>
      <c r="S13" s="35" t="str">
        <f t="shared" si="1"/>
        <v>Enter data here</v>
      </c>
      <c r="T13" s="35" t="str">
        <f t="shared" si="3"/>
        <v>Use column to left</v>
      </c>
      <c r="U13" s="35" t="s">
        <v>1100</v>
      </c>
      <c r="V13" s="242" t="str">
        <f t="shared" si="2"/>
        <v>Unfilled fields to left</v>
      </c>
      <c r="X13" s="25"/>
      <c r="Y13" s="12"/>
    </row>
    <row r="14" spans="1:29">
      <c r="B14" s="186" t="s">
        <v>1051</v>
      </c>
      <c r="C14" s="184" t="s">
        <v>1101</v>
      </c>
      <c r="D14" s="179" t="s">
        <v>459</v>
      </c>
      <c r="E14" s="35"/>
      <c r="F14" s="21"/>
      <c r="G14" s="21"/>
      <c r="H14" s="20"/>
      <c r="I14" s="36"/>
      <c r="J14" s="300"/>
      <c r="K14" s="302"/>
      <c r="L14" s="302"/>
      <c r="M14" s="302"/>
      <c r="N14" s="242">
        <f t="shared" si="0"/>
        <v>0</v>
      </c>
      <c r="O14" s="12"/>
      <c r="P14" s="12"/>
      <c r="S14" s="35" t="str">
        <f t="shared" si="1"/>
        <v>Enter data here</v>
      </c>
      <c r="T14" s="35" t="str">
        <f t="shared" si="3"/>
        <v>Use column to left</v>
      </c>
      <c r="U14" s="35" t="s">
        <v>1100</v>
      </c>
      <c r="V14" s="242" t="str">
        <f t="shared" si="2"/>
        <v>Unfilled fields to left</v>
      </c>
      <c r="X14" s="25"/>
      <c r="Y14" s="12"/>
    </row>
    <row r="15" spans="1:29">
      <c r="B15" s="186" t="s">
        <v>1102</v>
      </c>
      <c r="C15" s="184" t="s">
        <v>1055</v>
      </c>
      <c r="D15" s="179" t="s">
        <v>459</v>
      </c>
      <c r="E15" s="35"/>
      <c r="F15" s="21"/>
      <c r="G15" s="21"/>
      <c r="H15" s="20"/>
      <c r="I15" s="36"/>
      <c r="J15" s="300"/>
      <c r="K15" s="302"/>
      <c r="L15" s="302"/>
      <c r="M15" s="302"/>
      <c r="N15" s="242">
        <f t="shared" si="0"/>
        <v>0</v>
      </c>
      <c r="O15" s="12"/>
      <c r="P15" s="12"/>
      <c r="S15" s="35" t="str">
        <f t="shared" si="1"/>
        <v>Enter data here</v>
      </c>
      <c r="T15" s="35" t="str">
        <f t="shared" si="3"/>
        <v>Use column to left</v>
      </c>
      <c r="U15" s="35" t="s">
        <v>1100</v>
      </c>
      <c r="V15" s="242" t="str">
        <f t="shared" si="2"/>
        <v>Unfilled fields to left</v>
      </c>
      <c r="X15" s="25"/>
      <c r="Y15" s="12"/>
    </row>
    <row r="16" spans="1:29">
      <c r="B16" s="186" t="s">
        <v>1102</v>
      </c>
      <c r="C16" s="184"/>
      <c r="D16" s="179"/>
      <c r="E16" s="35"/>
      <c r="F16" s="21"/>
      <c r="G16" s="21"/>
      <c r="H16" s="20"/>
      <c r="I16" s="36"/>
      <c r="J16" s="300"/>
      <c r="K16" s="302"/>
      <c r="L16" s="302"/>
      <c r="M16" s="302"/>
      <c r="N16" s="242">
        <f t="shared" si="0"/>
        <v>0</v>
      </c>
      <c r="O16" s="12"/>
      <c r="P16" s="12"/>
      <c r="S16" s="35" t="str">
        <f t="shared" si="1"/>
        <v>Enter data here</v>
      </c>
      <c r="T16" s="35" t="str">
        <f t="shared" si="3"/>
        <v>Use column to left</v>
      </c>
      <c r="U16" s="35" t="s">
        <v>1100</v>
      </c>
      <c r="V16" s="242" t="str">
        <f t="shared" si="2"/>
        <v>Unfilled fields to left</v>
      </c>
      <c r="X16" s="25"/>
      <c r="Y16" s="12"/>
    </row>
    <row r="17" spans="2:29">
      <c r="B17" s="16"/>
      <c r="C17" s="15"/>
      <c r="D17" s="179"/>
      <c r="E17" s="35"/>
      <c r="F17" s="21"/>
      <c r="G17" s="21"/>
      <c r="H17" s="20"/>
      <c r="I17" s="36"/>
      <c r="J17" s="300"/>
      <c r="K17" s="302"/>
      <c r="L17" s="302"/>
      <c r="M17" s="302"/>
      <c r="N17" s="242">
        <f t="shared" si="0"/>
        <v>0</v>
      </c>
      <c r="O17" s="12"/>
      <c r="P17" s="12"/>
      <c r="S17" s="35" t="str">
        <f t="shared" si="1"/>
        <v/>
      </c>
      <c r="T17" s="35" t="str">
        <f t="shared" si="3"/>
        <v/>
      </c>
      <c r="U17" s="35"/>
      <c r="V17" s="242" t="str">
        <f t="shared" si="2"/>
        <v>Unfilled fields to left</v>
      </c>
      <c r="X17" s="25"/>
      <c r="Y17" s="12"/>
    </row>
    <row r="18" spans="2:29">
      <c r="C18" s="17"/>
      <c r="D18" s="17"/>
      <c r="E18" s="506"/>
      <c r="F18" s="26"/>
      <c r="G18" s="27"/>
      <c r="H18" s="22"/>
      <c r="I18" s="22"/>
      <c r="J18" s="41"/>
      <c r="K18" s="41"/>
      <c r="L18" s="41"/>
      <c r="M18" s="41"/>
      <c r="N18" s="41"/>
      <c r="S18" s="41"/>
      <c r="T18" s="41"/>
      <c r="U18" s="41"/>
      <c r="V18" s="41"/>
      <c r="X18" s="27"/>
      <c r="Y18" s="12"/>
    </row>
    <row r="19" spans="2:29">
      <c r="B19" s="145" t="s">
        <v>1103</v>
      </c>
      <c r="C19" s="145"/>
      <c r="D19" s="145"/>
      <c r="E19" s="301"/>
      <c r="F19" s="145"/>
      <c r="G19" s="145"/>
      <c r="H19" s="145"/>
      <c r="I19" s="145"/>
      <c r="J19" s="301"/>
      <c r="K19" s="301"/>
      <c r="L19" s="301"/>
      <c r="M19" s="301"/>
      <c r="N19" s="301"/>
      <c r="Q19"/>
      <c r="R19"/>
      <c r="S19" s="40"/>
      <c r="T19" s="40"/>
      <c r="U19" s="40"/>
      <c r="V19" s="40"/>
      <c r="W19" s="19"/>
      <c r="X19" s="19"/>
      <c r="Y19" s="19"/>
      <c r="Z19" s="19"/>
      <c r="AA19" s="19"/>
      <c r="AB19" s="19"/>
      <c r="AC19" s="19"/>
    </row>
    <row r="20" spans="2:29">
      <c r="B20" s="16" t="s">
        <v>1104</v>
      </c>
      <c r="C20" s="184" t="s">
        <v>1105</v>
      </c>
      <c r="D20" s="179" t="s">
        <v>459</v>
      </c>
      <c r="E20" s="35"/>
      <c r="F20" s="21"/>
      <c r="G20" s="21"/>
      <c r="H20" s="21"/>
      <c r="I20" s="21"/>
      <c r="J20" s="300"/>
      <c r="K20" s="306"/>
      <c r="L20" s="306"/>
      <c r="M20" s="306"/>
      <c r="N20" s="242">
        <f t="shared" ref="N20:N31" si="4">IF($D20="MWh/yr (LHV)",$E20,$J20*$E20*(1-$L20)/Conversion_kWh_to_MJ)</f>
        <v>0</v>
      </c>
      <c r="O20" s="246" t="str">
        <f>IFERROR(N20/N8,"")</f>
        <v/>
      </c>
      <c r="Q20" s="515">
        <f>IF($D20="MWh/yr (LHV)",$E20,$E20*MAX(0, $J20*(1-$L20)-2.441*$L20)/Conversion_kWh_to_MJ)</f>
        <v>0</v>
      </c>
      <c r="R20" s="245" t="str">
        <f>IFERROR(Q20/(SUM($Q$20:$Q$22)),"")</f>
        <v/>
      </c>
      <c r="S20" s="42"/>
      <c r="T20" s="42"/>
      <c r="U20" s="42"/>
      <c r="V20" s="42"/>
      <c r="X20" s="21"/>
      <c r="Y20" s="12"/>
    </row>
    <row r="21" spans="2:29" s="14" customFormat="1">
      <c r="B21" s="186" t="s">
        <v>1008</v>
      </c>
      <c r="C21" s="184" t="s">
        <v>1106</v>
      </c>
      <c r="D21" s="179" t="s">
        <v>459</v>
      </c>
      <c r="E21" s="35"/>
      <c r="F21" s="21"/>
      <c r="G21" s="21"/>
      <c r="H21" s="20"/>
      <c r="I21" s="33"/>
      <c r="J21" s="300"/>
      <c r="K21" s="302"/>
      <c r="L21" s="302"/>
      <c r="M21" s="302"/>
      <c r="N21" s="242">
        <f t="shared" si="4"/>
        <v>0</v>
      </c>
      <c r="O21" s="12"/>
      <c r="P21" s="12"/>
      <c r="Q21" s="515">
        <f>IF($D21="MWh/yr (LHV)",$E21,$E21*MAX(0, $J21*(1-$L21)-2.441*$L21)/Conversion_kWh_to_MJ)</f>
        <v>0</v>
      </c>
      <c r="R21" s="245" t="str">
        <f t="shared" ref="R21:R22" si="5">IFERROR(Q21/(SUM($Q$20:$Q$22)),"")</f>
        <v/>
      </c>
      <c r="S21" s="42"/>
      <c r="T21" s="42"/>
      <c r="U21" s="107"/>
      <c r="V21" s="12"/>
      <c r="W21" s="23"/>
      <c r="X21" s="21"/>
      <c r="Y21" s="23"/>
      <c r="Z21" s="42"/>
      <c r="AB21" s="12"/>
    </row>
    <row r="22" spans="2:29" s="14" customFormat="1">
      <c r="B22" s="186" t="s">
        <v>1008</v>
      </c>
      <c r="C22" s="184" t="s">
        <v>1107</v>
      </c>
      <c r="D22" s="179" t="s">
        <v>459</v>
      </c>
      <c r="E22" s="35"/>
      <c r="F22" s="21"/>
      <c r="G22" s="21"/>
      <c r="H22" s="20"/>
      <c r="I22" s="20"/>
      <c r="J22" s="302"/>
      <c r="K22" s="302"/>
      <c r="L22" s="302"/>
      <c r="M22" s="302"/>
      <c r="N22" s="242">
        <f t="shared" si="4"/>
        <v>0</v>
      </c>
      <c r="O22" s="12"/>
      <c r="P22" s="12"/>
      <c r="Q22" s="515">
        <f>IF($D22="MWh/yr (LHV)",$E22,$E22*MAX(0, $J22*(1-$L22)-2.441*$L22)/Conversion_kWh_to_MJ)</f>
        <v>0</v>
      </c>
      <c r="R22" s="245" t="str">
        <f t="shared" si="5"/>
        <v/>
      </c>
      <c r="S22" s="42"/>
      <c r="T22" s="42"/>
      <c r="U22" s="107"/>
      <c r="V22" s="12"/>
      <c r="W22" s="23"/>
      <c r="X22" s="21"/>
      <c r="Y22" s="23"/>
      <c r="Z22" s="42"/>
      <c r="AB22" s="12"/>
    </row>
    <row r="23" spans="2:29" s="14" customFormat="1">
      <c r="B23" s="186" t="s">
        <v>1013</v>
      </c>
      <c r="C23" s="184" t="s">
        <v>1108</v>
      </c>
      <c r="D23" s="179" t="s">
        <v>459</v>
      </c>
      <c r="E23" s="35"/>
      <c r="F23" s="21"/>
      <c r="G23" s="21"/>
      <c r="H23" s="20"/>
      <c r="I23" s="20"/>
      <c r="J23" s="302"/>
      <c r="K23" s="302"/>
      <c r="L23" s="302"/>
      <c r="M23" s="302"/>
      <c r="N23" s="242">
        <f t="shared" si="4"/>
        <v>0</v>
      </c>
      <c r="O23" s="12"/>
      <c r="P23" s="12"/>
      <c r="Q23" s="12"/>
      <c r="R23" s="12"/>
      <c r="S23" s="107"/>
      <c r="T23" s="107"/>
      <c r="U23" s="107"/>
      <c r="V23" s="12"/>
      <c r="W23" s="23"/>
      <c r="X23" s="21"/>
      <c r="Y23" s="23"/>
      <c r="Z23" s="42"/>
      <c r="AB23" s="12"/>
    </row>
    <row r="24" spans="2:29" s="14" customFormat="1">
      <c r="B24" s="186" t="s">
        <v>1013</v>
      </c>
      <c r="C24" s="184" t="s">
        <v>1015</v>
      </c>
      <c r="D24" s="179" t="s">
        <v>459</v>
      </c>
      <c r="E24" s="35"/>
      <c r="F24" s="21"/>
      <c r="G24" s="21"/>
      <c r="H24" s="20"/>
      <c r="I24" s="20"/>
      <c r="J24" s="302"/>
      <c r="K24" s="302"/>
      <c r="L24" s="302"/>
      <c r="M24" s="302"/>
      <c r="N24" s="242">
        <f t="shared" si="4"/>
        <v>0</v>
      </c>
      <c r="O24" s="12"/>
      <c r="P24" s="12"/>
      <c r="Q24" s="12"/>
      <c r="R24" s="12"/>
      <c r="S24" s="107"/>
      <c r="T24" s="107"/>
      <c r="U24" s="107"/>
      <c r="V24" s="12"/>
      <c r="W24" s="23"/>
      <c r="X24" s="21"/>
      <c r="Y24" s="23"/>
      <c r="Z24" s="42"/>
      <c r="AB24" s="12"/>
    </row>
    <row r="25" spans="2:29" s="14" customFormat="1">
      <c r="B25" s="186" t="s">
        <v>1016</v>
      </c>
      <c r="C25" s="184" t="s">
        <v>1017</v>
      </c>
      <c r="D25" s="179" t="s">
        <v>459</v>
      </c>
      <c r="E25" s="35"/>
      <c r="F25" s="21"/>
      <c r="G25" s="21"/>
      <c r="H25" s="20"/>
      <c r="I25" s="36"/>
      <c r="J25" s="300"/>
      <c r="K25" s="302"/>
      <c r="L25" s="302"/>
      <c r="M25" s="302"/>
      <c r="N25" s="242">
        <f t="shared" si="4"/>
        <v>0</v>
      </c>
      <c r="O25" s="12"/>
      <c r="P25" s="12"/>
      <c r="Q25" s="12"/>
      <c r="R25" s="12"/>
      <c r="S25" s="107"/>
      <c r="T25" s="107"/>
      <c r="U25" s="107"/>
      <c r="V25" s="12"/>
      <c r="X25" s="21"/>
    </row>
    <row r="26" spans="2:29" s="14" customFormat="1">
      <c r="B26" s="186" t="s">
        <v>1016</v>
      </c>
      <c r="C26" s="184" t="s">
        <v>1018</v>
      </c>
      <c r="D26" s="179" t="s">
        <v>459</v>
      </c>
      <c r="E26" s="35"/>
      <c r="F26" s="21"/>
      <c r="G26" s="21"/>
      <c r="H26" s="20"/>
      <c r="I26" s="36"/>
      <c r="J26" s="300"/>
      <c r="K26" s="302"/>
      <c r="L26" s="302"/>
      <c r="M26" s="302"/>
      <c r="N26" s="242">
        <f t="shared" si="4"/>
        <v>0</v>
      </c>
      <c r="O26" s="12"/>
      <c r="P26" s="12"/>
      <c r="Q26" s="12"/>
      <c r="R26" s="12"/>
      <c r="S26" s="107"/>
      <c r="T26" s="107"/>
      <c r="U26" s="107"/>
      <c r="V26" s="12"/>
      <c r="X26" s="21"/>
    </row>
    <row r="27" spans="2:29" s="14" customFormat="1">
      <c r="B27" s="186" t="s">
        <v>1057</v>
      </c>
      <c r="C27" s="184" t="s">
        <v>1117</v>
      </c>
      <c r="D27" s="179" t="s">
        <v>459</v>
      </c>
      <c r="E27" s="35"/>
      <c r="F27" s="34"/>
      <c r="G27" s="21"/>
      <c r="H27" s="20"/>
      <c r="I27" s="36"/>
      <c r="J27" s="300"/>
      <c r="K27" s="302"/>
      <c r="L27" s="302"/>
      <c r="M27" s="302"/>
      <c r="N27" s="242">
        <f t="shared" si="4"/>
        <v>0</v>
      </c>
      <c r="O27" s="12"/>
      <c r="P27" s="12"/>
      <c r="Q27" s="12"/>
      <c r="R27" s="12"/>
      <c r="S27" s="300">
        <f>1*1000</f>
        <v>1000</v>
      </c>
      <c r="T27" s="477"/>
      <c r="U27" s="35" t="s">
        <v>1118</v>
      </c>
      <c r="V27" s="242" t="str">
        <f>IFERROR(IF(D27="tonnes/yr", $S27*$E27/($N$20*3.6), $T27*$E27*3.6/($N$20*3.6)), "Unfilled fields to left")</f>
        <v>Unfilled fields to left</v>
      </c>
      <c r="X27" s="21"/>
    </row>
    <row r="28" spans="2:29" s="14" customFormat="1">
      <c r="B28" s="186" t="s">
        <v>1113</v>
      </c>
      <c r="C28" s="184" t="s">
        <v>1073</v>
      </c>
      <c r="D28" s="179" t="s">
        <v>459</v>
      </c>
      <c r="E28" s="35"/>
      <c r="F28" s="34"/>
      <c r="G28" s="21"/>
      <c r="H28" s="20"/>
      <c r="I28" s="36"/>
      <c r="J28" s="300"/>
      <c r="K28" s="302"/>
      <c r="L28" s="302"/>
      <c r="M28" s="302"/>
      <c r="N28" s="242">
        <f t="shared" si="4"/>
        <v>0</v>
      </c>
      <c r="O28" s="12"/>
      <c r="P28" s="12"/>
      <c r="Q28" s="12"/>
      <c r="R28" s="12"/>
      <c r="S28" s="300">
        <f>28*1000</f>
        <v>28000</v>
      </c>
      <c r="T28" s="477"/>
      <c r="U28" s="35" t="s">
        <v>1059</v>
      </c>
      <c r="V28" s="242" t="str">
        <f>IFERROR(IF(D28="tonnes/yr", $S28*$E28/($N$20*3.6), $T28*$E28*3.6/($N$20*3.6)), "Unfilled fields to left")</f>
        <v>Unfilled fields to left</v>
      </c>
      <c r="X28" s="21"/>
    </row>
    <row r="29" spans="2:29" s="14" customFormat="1">
      <c r="B29" s="186" t="s">
        <v>1113</v>
      </c>
      <c r="C29" s="184" t="s">
        <v>1075</v>
      </c>
      <c r="D29" s="179" t="s">
        <v>459</v>
      </c>
      <c r="E29" s="35"/>
      <c r="F29" s="21"/>
      <c r="G29" s="21"/>
      <c r="H29" s="20"/>
      <c r="I29" s="36"/>
      <c r="J29" s="300"/>
      <c r="K29" s="302"/>
      <c r="L29" s="302"/>
      <c r="M29" s="302"/>
      <c r="N29" s="242">
        <f t="shared" si="4"/>
        <v>0</v>
      </c>
      <c r="O29" s="12"/>
      <c r="P29" s="12"/>
      <c r="Q29" s="12"/>
      <c r="R29" s="12"/>
      <c r="S29" s="35">
        <v>265000</v>
      </c>
      <c r="T29" s="518"/>
      <c r="U29" s="35" t="s">
        <v>1059</v>
      </c>
      <c r="V29" s="242" t="str">
        <f>IFERROR(IF(D29="tonnes/yr", $S29*$E29/($N$20*3.6), $T29*$E29*3.6/($N$20*3.6)), "Unfilled fields to left")</f>
        <v>Unfilled fields to left</v>
      </c>
      <c r="X29" s="21"/>
    </row>
    <row r="30" spans="2:29" s="14" customFormat="1">
      <c r="B30" s="16"/>
      <c r="C30" s="15"/>
      <c r="D30" s="179"/>
      <c r="E30" s="35"/>
      <c r="F30" s="21"/>
      <c r="G30" s="21"/>
      <c r="H30" s="20"/>
      <c r="I30" s="36"/>
      <c r="J30" s="300"/>
      <c r="K30" s="302"/>
      <c r="L30" s="302"/>
      <c r="M30" s="302"/>
      <c r="N30" s="242">
        <f t="shared" si="4"/>
        <v>0</v>
      </c>
      <c r="O30" s="12"/>
      <c r="P30" s="12"/>
      <c r="Q30" s="12"/>
      <c r="R30" s="12"/>
      <c r="S30" s="300"/>
      <c r="T30" s="477"/>
      <c r="U30" s="302"/>
      <c r="V30" s="242" t="str">
        <f>IFERROR(IF(D30="tonnes/yr", $S30*$E30/($N$20*3.6), $T30*$E30*3.6/($N$20*3.6)), "Unfilled fields to left")</f>
        <v>Unfilled fields to left</v>
      </c>
      <c r="X30" s="21"/>
    </row>
    <row r="31" spans="2:29" s="14" customFormat="1">
      <c r="B31" s="16"/>
      <c r="C31" s="15"/>
      <c r="D31" s="179"/>
      <c r="E31" s="35"/>
      <c r="F31" s="21"/>
      <c r="G31" s="21"/>
      <c r="H31" s="20"/>
      <c r="I31" s="36"/>
      <c r="J31" s="300"/>
      <c r="K31" s="302"/>
      <c r="L31" s="302"/>
      <c r="M31" s="302"/>
      <c r="N31" s="242">
        <f t="shared" si="4"/>
        <v>0</v>
      </c>
      <c r="O31" s="12"/>
      <c r="P31" s="12"/>
      <c r="Q31" s="12"/>
      <c r="R31" s="12"/>
      <c r="S31" s="300"/>
      <c r="T31" s="477"/>
      <c r="U31" s="302"/>
      <c r="V31" s="242" t="str">
        <f>IFERROR(IF(D31="tonnes/yr", $S31*$E31/($N$20*3.6), $T31*$E31*3.6/($N$20*3.6)), "Unfilled fields to left")</f>
        <v>Unfilled fields to left</v>
      </c>
      <c r="X31" s="21"/>
    </row>
    <row r="32" spans="2:29">
      <c r="C32" s="17"/>
      <c r="D32" s="17"/>
      <c r="E32" s="140"/>
      <c r="F32" s="17"/>
      <c r="H32" s="18"/>
      <c r="I32" s="18"/>
      <c r="J32" s="40"/>
      <c r="K32" s="40"/>
      <c r="L32" s="40"/>
      <c r="M32" s="40"/>
      <c r="N32" s="40"/>
      <c r="O32" s="12"/>
      <c r="P32" s="12"/>
      <c r="S32" s="40"/>
      <c r="T32" s="40"/>
      <c r="U32" s="40"/>
      <c r="V32" s="40"/>
      <c r="Y32" s="12"/>
    </row>
    <row r="33" spans="2:25">
      <c r="D33" s="17"/>
      <c r="E33" s="140"/>
      <c r="J33" s="39"/>
      <c r="K33" s="39"/>
      <c r="L33" s="39"/>
      <c r="M33" s="39"/>
      <c r="O33" s="12"/>
      <c r="P33" s="12"/>
      <c r="S33" s="39"/>
      <c r="T33" s="39"/>
      <c r="U33" s="38" t="s">
        <v>1114</v>
      </c>
      <c r="V33" s="153">
        <f>SUM(V7:V32)</f>
        <v>0</v>
      </c>
      <c r="Y33" s="12"/>
    </row>
    <row r="34" spans="2:25">
      <c r="B34" s="145" t="s">
        <v>132</v>
      </c>
      <c r="C34" s="159"/>
      <c r="D34" s="159"/>
      <c r="E34" s="499"/>
      <c r="I34" s="12"/>
      <c r="J34" s="107"/>
      <c r="K34" s="107"/>
      <c r="L34" s="107"/>
      <c r="M34" s="107"/>
      <c r="N34" s="107"/>
      <c r="O34" s="12"/>
      <c r="P34" s="12"/>
      <c r="S34" s="107"/>
      <c r="T34" s="107"/>
      <c r="U34" s="107"/>
      <c r="Y34" s="12"/>
    </row>
    <row r="35" spans="2:25">
      <c r="B35" s="16" t="s">
        <v>1086</v>
      </c>
      <c r="C35" s="15" t="s">
        <v>1087</v>
      </c>
      <c r="D35" s="15" t="s">
        <v>1088</v>
      </c>
      <c r="E35" s="501"/>
      <c r="G35" s="19"/>
      <c r="H35" s="12"/>
      <c r="I35" s="12"/>
      <c r="J35" s="107"/>
      <c r="K35" s="107"/>
      <c r="L35" s="107"/>
      <c r="M35" s="107"/>
      <c r="N35" s="107"/>
      <c r="O35" s="12"/>
      <c r="P35" s="12"/>
      <c r="S35" s="107"/>
      <c r="T35" s="107"/>
      <c r="U35" s="107"/>
      <c r="V35" s="12"/>
      <c r="X35" s="25"/>
      <c r="Y35" s="12"/>
    </row>
    <row r="36" spans="2:25">
      <c r="B36" s="16" t="s">
        <v>1119</v>
      </c>
      <c r="C36" s="15" t="s">
        <v>1120</v>
      </c>
      <c r="D36" s="15" t="s">
        <v>299</v>
      </c>
      <c r="E36" s="501"/>
      <c r="H36" s="12"/>
      <c r="I36" s="12"/>
      <c r="J36" s="107"/>
      <c r="K36" s="107"/>
      <c r="L36" s="107"/>
      <c r="M36" s="107"/>
      <c r="N36" s="107"/>
      <c r="O36" s="12"/>
      <c r="P36" s="12"/>
      <c r="S36" s="107"/>
      <c r="T36" s="107"/>
      <c r="U36" s="107"/>
      <c r="V36" s="12"/>
      <c r="X36" s="25"/>
      <c r="Y36" s="12"/>
    </row>
    <row r="37" spans="2:25">
      <c r="B37" s="16"/>
      <c r="C37" s="15"/>
      <c r="D37" s="15"/>
      <c r="E37" s="507"/>
      <c r="J37" s="39"/>
      <c r="K37" s="39"/>
      <c r="L37" s="39"/>
      <c r="M37" s="39"/>
      <c r="S37" s="39"/>
      <c r="T37" s="39"/>
      <c r="U37" s="39"/>
      <c r="X37" s="25"/>
    </row>
    <row r="38" spans="2:25">
      <c r="B38" s="16"/>
      <c r="C38" s="15"/>
      <c r="D38" s="15"/>
      <c r="E38" s="507"/>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C2" sqref="C2:E2"/>
      <pageMargins left="0" right="0" top="0" bottom="0" header="0" footer="0"/>
      <pageSetup paperSize="9" orientation="portrait" r:id="rId3"/>
    </customSheetView>
    <customSheetView guid="{3F0A4FBA-5323-448F-A023-B3E14C54064C}" showGridLines="0">
      <pane xSplit="3" ySplit="5" topLeftCell="K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K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20:D31 D8:D17" xr:uid="{A6694520-268B-457F-AC89-C416B8EFC726}">
      <formula1>Flow_units</formula1>
    </dataValidation>
    <dataValidation type="custom" allowBlank="1" showInputMessage="1" showErrorMessage="1" error="Please do not change this formula" prompt="Please do not change this formula" sqref="V6:V1048576 W4 V1:V4 S5:V5" xr:uid="{84EA5A4B-58D9-4886-B070-275F8FD1E462}">
      <formula1>"Please do not change this formula"</formula1>
    </dataValidation>
    <dataValidation type="custom" allowBlank="1" showInputMessage="1" showErrorMessage="1" error="Please do not change this formula" sqref="R6:R19 R23:R1048576 N1:N1048576 O1:R5 O6:Q1048576" xr:uid="{84924E1B-D53B-4F19-80BB-4DE3E70BE53E}">
      <formula1>"Please do not change this formula"</formula1>
    </dataValidation>
    <dataValidation type="custom" allowBlank="1" showInputMessage="1" showErrorMessage="1" error="Please do not change" sqref="R20:R22" xr:uid="{50708688-E50A-4A59-9057-E3B4C0F9AA0C}">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9:T32" xr:uid="{8F2ABC2D-459A-4D74-A971-58C15AFCC37C}">
      <formula1>0</formula1>
    </dataValidation>
  </dataValidations>
  <pageMargins left="0" right="0" top="0" bottom="0" header="0" footer="0"/>
  <pageSetup paperSize="9" orientation="portrait" r:id="rId10"/>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72" id="{00000000-000E-0000-1900-0000AB000000}">
            <xm:f>AND(Path&lt;&gt;Units!$B$126,Path&lt;&gt;Units!$B$127,Path&lt;&gt;Units!$B$128, Path&lt;&gt;Units!$B$129,Master_Switch="On")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1" id="{A8B56E2F-4F61-41A2-8E60-9E21BA330CE2}">
            <xm:f>AND(Initial_questions!$E$73=Units!$H$120,GHG_NG_SPLITTING!$D$3="Default",Master_Switch="On")</xm:f>
            <x14:dxf>
              <font>
                <color theme="0"/>
              </font>
              <fill>
                <patternFill>
                  <bgColor theme="0"/>
                </patternFill>
              </fill>
              <border>
                <left/>
                <right/>
                <top/>
                <bottom/>
                <vertical/>
                <horizontal/>
              </border>
            </x14:dxf>
          </x14:cfRule>
          <x14:cfRule type="expression" priority="259" id="{205C802A-EFA6-4F48-9FA5-4927BF8321A3}">
            <xm:f>AND(Initial_questions!$E$73=Units!$H$120,GHG_NG_REFORM_CCS!$D$3="Default",Master_Switch="On")</xm:f>
            <x14:dxf>
              <font>
                <color theme="0"/>
              </font>
              <fill>
                <patternFill>
                  <bgColor theme="0"/>
                </patternFill>
              </fill>
              <border>
                <left/>
                <right/>
                <top/>
                <bottom/>
                <vertical/>
                <horizontal/>
              </border>
            </x14:dxf>
          </x14:cfRule>
          <x14:cfRule type="expression" priority="260" id="{6848A98E-B354-41AE-B4C7-BC3D1AB7FFB9}">
            <xm:f>AND(OR(GHG_NG_REFORM_CCS!$D$3="Default",GHG_NG_SPLITTING!$D$3="Default"),Master_Switch="On")</xm:f>
            <x14:dxf>
              <font>
                <color theme="0"/>
              </font>
              <fill>
                <patternFill>
                  <bgColor theme="0"/>
                </patternFill>
              </fill>
              <border>
                <left/>
                <right/>
                <top/>
                <bottom/>
              </border>
            </x14:dxf>
          </x14:cfRule>
          <xm:sqref>A3:XFD200</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theme="5"/>
  </sheetPr>
  <dimension ref="A1:AB246"/>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9" customWidth="1"/>
    <col min="2" max="2" width="23.26953125" style="19" customWidth="1"/>
    <col min="3" max="3" width="37.1796875" style="19" customWidth="1"/>
    <col min="4" max="4" width="13.26953125" style="19" customWidth="1"/>
    <col min="5" max="5" width="16.453125" style="459" customWidth="1"/>
    <col min="6" max="6" width="22" style="19" customWidth="1"/>
    <col min="7" max="7" width="18.7265625" style="19" customWidth="1"/>
    <col min="8" max="8" width="13.453125" style="126" customWidth="1"/>
    <col min="9" max="9" width="14.1796875" style="126" customWidth="1"/>
    <col min="10" max="10" width="14" style="126" customWidth="1"/>
    <col min="11" max="11" width="13.81640625" style="126" customWidth="1"/>
    <col min="12" max="13" width="13.81640625" style="13" customWidth="1"/>
    <col min="14" max="14" width="14.26953125" style="39" customWidth="1"/>
    <col min="15" max="15" width="18" customWidth="1"/>
    <col min="16" max="16" width="10.1796875" style="12" customWidth="1"/>
    <col min="17" max="17" width="18.81640625" style="12" customWidth="1"/>
    <col min="18" max="18" width="17.54296875" style="12" customWidth="1"/>
    <col min="19" max="20" width="20.7265625" style="126" customWidth="1"/>
    <col min="21" max="21" width="22.7265625" style="126" customWidth="1"/>
    <col min="22" max="22" width="20.26953125" style="125" customWidth="1"/>
    <col min="23" max="23" width="16.54296875" style="19" customWidth="1"/>
    <col min="24" max="24" width="26" style="19" customWidth="1"/>
    <col min="26" max="16384" width="7.1796875" style="19"/>
  </cols>
  <sheetData>
    <row r="1" spans="1:28" ht="31.9" customHeight="1">
      <c r="A1" s="80" t="str">
        <f>IF(AND(Path&lt;&gt;Units!$B$126, Path&lt;&gt;Units!$B$127,Path&lt;&gt;Units!$B$128,Master_Switch="On"),"User should not fill in this sheet, but switch to other non-blank GHG worksheets","")</f>
        <v>User should not fill in this sheet, but switch to other non-blank GHG worksheets</v>
      </c>
      <c r="E1" s="256"/>
    </row>
    <row r="2" spans="1:28" ht="20.5" customHeight="1">
      <c r="B2" s="80"/>
      <c r="E2" s="256"/>
      <c r="I2" s="733" t="s">
        <v>983</v>
      </c>
      <c r="J2" s="731"/>
      <c r="K2" s="732"/>
      <c r="L2" s="39"/>
      <c r="M2" s="39"/>
    </row>
    <row r="3" spans="1:28" ht="15" customHeight="1">
      <c r="E3" s="256"/>
    </row>
    <row r="4" spans="1:28" ht="15.65" customHeight="1" thickBot="1">
      <c r="B4" s="3"/>
      <c r="C4" s="3"/>
      <c r="D4" s="3"/>
      <c r="E4" s="455"/>
      <c r="F4" s="3"/>
      <c r="G4" s="3"/>
      <c r="H4" s="1"/>
      <c r="I4" s="1"/>
      <c r="J4" s="1"/>
      <c r="K4" s="1"/>
      <c r="L4" s="1"/>
      <c r="M4" s="1"/>
      <c r="N4" s="37"/>
      <c r="O4" s="1"/>
      <c r="P4" s="1"/>
      <c r="Q4" s="1"/>
      <c r="R4" s="3"/>
      <c r="S4" s="1"/>
      <c r="T4" s="1"/>
      <c r="U4" s="1"/>
      <c r="V4" s="37"/>
      <c r="W4" s="37"/>
      <c r="X4" s="37"/>
    </row>
    <row r="5" spans="1:28"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8" ht="15" thickTop="1">
      <c r="O6" s="12"/>
      <c r="Q6" s="39"/>
    </row>
    <row r="7" spans="1:28">
      <c r="B7" s="145" t="s">
        <v>1003</v>
      </c>
      <c r="C7" s="145"/>
      <c r="D7" s="145"/>
      <c r="E7" s="324"/>
      <c r="F7" s="145"/>
      <c r="G7" s="145"/>
      <c r="H7" s="145"/>
      <c r="I7" s="145"/>
      <c r="J7" s="145"/>
      <c r="K7" s="324"/>
      <c r="L7" s="145"/>
      <c r="M7" s="145"/>
      <c r="N7" s="301"/>
      <c r="O7" s="12"/>
      <c r="Q7" s="556"/>
      <c r="S7" s="18"/>
      <c r="T7" s="18"/>
      <c r="U7" s="18"/>
      <c r="V7" s="40"/>
      <c r="Y7" s="19"/>
    </row>
    <row r="8" spans="1:28">
      <c r="B8" s="16" t="s">
        <v>1004</v>
      </c>
      <c r="C8" s="184" t="s">
        <v>1105</v>
      </c>
      <c r="D8" s="179" t="s">
        <v>459</v>
      </c>
      <c r="E8" s="35"/>
      <c r="F8" s="24"/>
      <c r="G8" s="24"/>
      <c r="H8" s="24"/>
      <c r="I8" s="24"/>
      <c r="J8" s="35"/>
      <c r="K8" s="35"/>
      <c r="L8" s="306"/>
      <c r="M8" s="306"/>
      <c r="N8" s="242">
        <f t="shared" ref="N8:N17" si="0">IF($D8="MWh/yr (LHV)",$E8,$J8*$E8*(1-$L8)/Conversion_kWh_to_MJ)</f>
        <v>0</v>
      </c>
      <c r="O8" s="12"/>
      <c r="Q8" s="555"/>
      <c r="S8" s="40"/>
      <c r="T8" s="40"/>
      <c r="U8" s="40"/>
      <c r="V8" s="40"/>
      <c r="X8" s="21"/>
      <c r="Y8" s="19"/>
    </row>
    <row r="9" spans="1:28">
      <c r="B9" s="16" t="s">
        <v>1006</v>
      </c>
      <c r="C9" s="15" t="s">
        <v>1121</v>
      </c>
      <c r="D9" s="15" t="s">
        <v>459</v>
      </c>
      <c r="E9" s="35">
        <f>Hydrogen_flow</f>
        <v>0</v>
      </c>
      <c r="F9" s="24"/>
      <c r="G9" s="24"/>
      <c r="H9" s="24"/>
      <c r="I9" s="24"/>
      <c r="J9" s="35">
        <v>120</v>
      </c>
      <c r="K9" s="35"/>
      <c r="L9" s="552">
        <v>0</v>
      </c>
      <c r="M9" s="306"/>
      <c r="N9" s="242">
        <f t="shared" si="0"/>
        <v>0</v>
      </c>
      <c r="O9" s="88" t="str">
        <f>IFERROR(N9/N8,"")</f>
        <v/>
      </c>
      <c r="Q9" s="515">
        <f>IF($D9="MWh/yr (LHV)",$E9,$E9*MAX(0, $J9*(1-$L9)-2.441*$L9)/Conversion_kWh_to_MJ)</f>
        <v>0</v>
      </c>
      <c r="R9" s="43" t="str">
        <f>IFERROR(Q9/(SUM($Q$9:$Q$13)),"")</f>
        <v/>
      </c>
      <c r="S9" s="42"/>
      <c r="T9" s="42"/>
      <c r="U9" s="42"/>
      <c r="V9" s="19"/>
      <c r="X9" s="21"/>
      <c r="Y9" s="19"/>
    </row>
    <row r="10" spans="1:28">
      <c r="B10" s="186" t="s">
        <v>1008</v>
      </c>
      <c r="C10" s="184" t="s">
        <v>1009</v>
      </c>
      <c r="D10" s="179" t="s">
        <v>479</v>
      </c>
      <c r="E10" s="35"/>
      <c r="F10" s="21"/>
      <c r="G10" s="21"/>
      <c r="H10" s="20"/>
      <c r="I10" s="33"/>
      <c r="J10" s="300"/>
      <c r="K10" s="302"/>
      <c r="L10" s="302"/>
      <c r="M10" s="302"/>
      <c r="N10" s="242">
        <f t="shared" si="0"/>
        <v>0</v>
      </c>
      <c r="O10" s="12"/>
      <c r="Q10" s="515">
        <f>IF($D10="MWh/yr (LHV)",$E10,$E10*MAX(0, $J10*(1-$L10)-2.441*$L10)/Conversion_kWh_to_MJ)</f>
        <v>0</v>
      </c>
      <c r="R10" s="43" t="str">
        <f t="shared" ref="R10:R13" si="1">IFERROR(Q10/(SUM($Q$9:$Q$13)),"")</f>
        <v/>
      </c>
      <c r="S10" s="42"/>
      <c r="T10" s="42"/>
      <c r="U10" s="42"/>
      <c r="V10" s="19"/>
      <c r="W10" s="23"/>
      <c r="X10" s="21"/>
      <c r="Y10" s="19"/>
    </row>
    <row r="11" spans="1:28">
      <c r="B11" s="186" t="s">
        <v>1008</v>
      </c>
      <c r="C11" s="184" t="s">
        <v>1122</v>
      </c>
      <c r="D11" s="179" t="s">
        <v>479</v>
      </c>
      <c r="E11" s="35"/>
      <c r="F11" s="21"/>
      <c r="G11" s="21"/>
      <c r="H11" s="20"/>
      <c r="I11" s="20"/>
      <c r="J11" s="302"/>
      <c r="K11" s="302"/>
      <c r="L11" s="302"/>
      <c r="M11" s="302"/>
      <c r="N11" s="242">
        <f t="shared" si="0"/>
        <v>0</v>
      </c>
      <c r="O11" s="12"/>
      <c r="Q11" s="515">
        <f>IF($D11="MWh/yr (LHV)",$E11,$E11*MAX(0, $J11*(1-$L11)-2.441*$L11)/Conversion_kWh_to_MJ)</f>
        <v>0</v>
      </c>
      <c r="R11" s="43" t="str">
        <f t="shared" si="1"/>
        <v/>
      </c>
      <c r="S11" s="42"/>
      <c r="T11" s="42"/>
      <c r="U11" s="42"/>
      <c r="V11" s="14"/>
      <c r="W11" s="23"/>
      <c r="X11" s="21"/>
      <c r="Y11" s="19"/>
    </row>
    <row r="12" spans="1:28">
      <c r="B12" s="186" t="s">
        <v>1008</v>
      </c>
      <c r="C12" s="184" t="s">
        <v>1011</v>
      </c>
      <c r="D12" s="179" t="s">
        <v>459</v>
      </c>
      <c r="E12" s="35"/>
      <c r="F12" s="21"/>
      <c r="G12" s="21"/>
      <c r="H12" s="20"/>
      <c r="I12" s="20"/>
      <c r="J12" s="302"/>
      <c r="K12" s="302"/>
      <c r="L12" s="302"/>
      <c r="M12" s="302"/>
      <c r="N12" s="242">
        <f t="shared" si="0"/>
        <v>0</v>
      </c>
      <c r="O12" s="12"/>
      <c r="Q12" s="515">
        <f>IF($D12="MWh/yr (LHV)",$E12,$E12*MAX(0, $J12*(1-$L12)-2.441*$L12)/Conversion_kWh_to_MJ)</f>
        <v>0</v>
      </c>
      <c r="R12" s="43" t="str">
        <f t="shared" si="1"/>
        <v/>
      </c>
      <c r="S12" s="40"/>
      <c r="T12" s="40"/>
      <c r="U12" s="40"/>
      <c r="V12" s="40"/>
      <c r="X12" s="21"/>
      <c r="Y12" s="19"/>
    </row>
    <row r="13" spans="1:28">
      <c r="B13" s="186" t="s">
        <v>1008</v>
      </c>
      <c r="C13" s="184" t="s">
        <v>1012</v>
      </c>
      <c r="D13" s="179" t="s">
        <v>459</v>
      </c>
      <c r="E13" s="35"/>
      <c r="F13" s="21"/>
      <c r="G13" s="21"/>
      <c r="H13" s="20"/>
      <c r="I13" s="20"/>
      <c r="J13" s="302"/>
      <c r="K13" s="302"/>
      <c r="L13" s="302"/>
      <c r="M13" s="302"/>
      <c r="N13" s="242">
        <f t="shared" si="0"/>
        <v>0</v>
      </c>
      <c r="O13" s="12"/>
      <c r="Q13" s="515">
        <f>IF($D13="MWh/yr (LHV)",$E13,$E13*MAX(0, $J13*(1-$L13)-2.441*$L13)/Conversion_kWh_to_MJ)</f>
        <v>0</v>
      </c>
      <c r="R13" s="43" t="str">
        <f t="shared" si="1"/>
        <v/>
      </c>
      <c r="S13" s="40"/>
      <c r="T13" s="40"/>
      <c r="U13" s="40"/>
      <c r="V13" s="40"/>
      <c r="X13" s="21"/>
      <c r="Y13" s="19"/>
    </row>
    <row r="14" spans="1:28" s="14" customFormat="1">
      <c r="B14" s="186" t="s">
        <v>1013</v>
      </c>
      <c r="C14" s="184" t="s">
        <v>1108</v>
      </c>
      <c r="D14" s="179" t="s">
        <v>459</v>
      </c>
      <c r="E14" s="35"/>
      <c r="F14" s="21"/>
      <c r="G14" s="21"/>
      <c r="H14" s="20"/>
      <c r="I14" s="20"/>
      <c r="J14" s="302"/>
      <c r="K14" s="302"/>
      <c r="L14" s="302"/>
      <c r="M14" s="302"/>
      <c r="N14" s="242">
        <f t="shared" si="0"/>
        <v>0</v>
      </c>
      <c r="O14" s="12"/>
      <c r="P14" s="12"/>
      <c r="Q14" s="12"/>
      <c r="R14" s="12"/>
      <c r="S14" s="113"/>
      <c r="T14" s="113"/>
      <c r="U14" s="113"/>
      <c r="V14" s="19"/>
      <c r="W14" s="23"/>
      <c r="X14" s="21"/>
      <c r="Y14" s="23"/>
      <c r="Z14" s="42"/>
      <c r="AB14" s="19"/>
    </row>
    <row r="15" spans="1:28" s="14" customFormat="1">
      <c r="B15" s="186" t="s">
        <v>1013</v>
      </c>
      <c r="C15" s="184" t="s">
        <v>1015</v>
      </c>
      <c r="D15" s="179" t="s">
        <v>459</v>
      </c>
      <c r="E15" s="35"/>
      <c r="F15" s="21"/>
      <c r="G15" s="21"/>
      <c r="H15" s="20"/>
      <c r="I15" s="20"/>
      <c r="J15" s="302"/>
      <c r="K15" s="302"/>
      <c r="L15" s="302"/>
      <c r="M15" s="302"/>
      <c r="N15" s="242">
        <f t="shared" si="0"/>
        <v>0</v>
      </c>
      <c r="O15" s="12"/>
      <c r="P15" s="12"/>
      <c r="Q15" s="12"/>
      <c r="R15" s="12"/>
      <c r="S15" s="113"/>
      <c r="T15" s="113"/>
      <c r="U15" s="113"/>
      <c r="V15" s="19"/>
      <c r="W15" s="23"/>
      <c r="X15" s="21"/>
      <c r="Y15" s="23"/>
      <c r="Z15" s="42"/>
      <c r="AB15" s="19"/>
    </row>
    <row r="16" spans="1:28" s="14" customFormat="1">
      <c r="B16" s="186" t="s">
        <v>1016</v>
      </c>
      <c r="C16" s="184" t="s">
        <v>1017</v>
      </c>
      <c r="D16" s="179" t="s">
        <v>459</v>
      </c>
      <c r="E16" s="35"/>
      <c r="F16" s="21"/>
      <c r="G16" s="21"/>
      <c r="H16" s="20"/>
      <c r="I16" s="36"/>
      <c r="J16" s="300"/>
      <c r="K16" s="302"/>
      <c r="L16" s="302"/>
      <c r="M16" s="302"/>
      <c r="N16" s="242">
        <f t="shared" si="0"/>
        <v>0</v>
      </c>
      <c r="O16" s="12"/>
      <c r="P16" s="12"/>
      <c r="Q16" s="12"/>
      <c r="R16" s="12"/>
      <c r="S16" s="113"/>
      <c r="T16" s="113"/>
      <c r="U16" s="113"/>
      <c r="V16" s="19"/>
      <c r="X16" s="21"/>
    </row>
    <row r="17" spans="2:25" s="14" customFormat="1">
      <c r="B17" s="186" t="s">
        <v>1016</v>
      </c>
      <c r="C17" s="184" t="s">
        <v>1018</v>
      </c>
      <c r="D17" s="179" t="s">
        <v>459</v>
      </c>
      <c r="E17" s="35"/>
      <c r="F17" s="21"/>
      <c r="G17" s="21"/>
      <c r="H17" s="20"/>
      <c r="I17" s="36"/>
      <c r="J17" s="300"/>
      <c r="K17" s="302"/>
      <c r="L17" s="302"/>
      <c r="M17" s="302"/>
      <c r="N17" s="242">
        <f t="shared" si="0"/>
        <v>0</v>
      </c>
      <c r="O17" s="12"/>
      <c r="P17" s="12"/>
      <c r="Q17" s="12"/>
      <c r="R17" s="12"/>
      <c r="S17" s="113"/>
      <c r="T17" s="113"/>
      <c r="U17" s="113"/>
      <c r="V17" s="19"/>
      <c r="X17" s="21"/>
    </row>
    <row r="18" spans="2:25">
      <c r="B18" s="78"/>
      <c r="C18" s="262"/>
      <c r="D18" s="78"/>
      <c r="E18" s="482"/>
      <c r="F18" s="261"/>
      <c r="G18" s="79"/>
      <c r="H18" s="260"/>
      <c r="I18" s="260"/>
      <c r="J18" s="482"/>
      <c r="K18" s="254"/>
      <c r="L18" s="73"/>
      <c r="M18" s="73"/>
      <c r="N18" s="73"/>
      <c r="O18" s="12"/>
      <c r="S18" s="40"/>
      <c r="T18" s="40"/>
      <c r="U18" s="40"/>
      <c r="V18" s="40"/>
      <c r="X18" s="261"/>
      <c r="Y18" s="19"/>
    </row>
    <row r="19" spans="2:25" ht="31">
      <c r="B19" s="80" t="str">
        <f>IF(AND(GHG_NG_REFORM_CCS!$D$7="Default",Master_Switch="On"),"Default data selected for the emissions category below, move to the next emissions category within this step","")</f>
        <v/>
      </c>
      <c r="C19" s="262"/>
      <c r="D19" s="78"/>
      <c r="E19" s="482"/>
      <c r="F19" s="261"/>
      <c r="G19" s="79"/>
      <c r="H19" s="260"/>
      <c r="I19" s="260"/>
      <c r="J19" s="482"/>
      <c r="K19" s="254"/>
      <c r="L19" s="73"/>
      <c r="M19" s="73"/>
      <c r="N19" s="73"/>
      <c r="O19" s="12"/>
      <c r="S19" s="40"/>
      <c r="T19" s="40"/>
      <c r="U19" s="40"/>
      <c r="V19" s="40"/>
      <c r="X19" s="261"/>
      <c r="Y19" s="19"/>
    </row>
    <row r="20" spans="2:25">
      <c r="B20" s="145" t="s">
        <v>1123</v>
      </c>
      <c r="C20" s="259"/>
      <c r="D20" s="259"/>
      <c r="E20" s="494"/>
      <c r="F20" s="258"/>
      <c r="G20" s="257"/>
      <c r="H20" s="151"/>
      <c r="I20" s="151"/>
      <c r="J20" s="494"/>
      <c r="K20" s="491"/>
      <c r="L20" s="492"/>
      <c r="M20" s="492"/>
      <c r="N20" s="491"/>
      <c r="O20" s="151"/>
      <c r="P20" s="152"/>
      <c r="Q20" s="152"/>
      <c r="R20" s="152"/>
      <c r="S20" s="480"/>
      <c r="T20" s="486"/>
      <c r="U20" s="480"/>
      <c r="V20" s="153">
        <f>SUM(V21:V30)</f>
        <v>0</v>
      </c>
      <c r="Y20" s="19"/>
    </row>
    <row r="21" spans="2:25">
      <c r="B21" s="186" t="s">
        <v>1021</v>
      </c>
      <c r="C21" s="184" t="s">
        <v>1124</v>
      </c>
      <c r="D21" s="179" t="s">
        <v>479</v>
      </c>
      <c r="E21" s="35"/>
      <c r="F21" s="24"/>
      <c r="G21" s="24"/>
      <c r="H21" s="24"/>
      <c r="I21" s="24"/>
      <c r="J21" s="303"/>
      <c r="K21" s="35"/>
      <c r="L21" s="306"/>
      <c r="M21" s="306"/>
      <c r="N21" s="242">
        <f t="shared" ref="N21:N30" si="2">IF($D21="MWh/yr (LHV)",$E21,$J21*$E21*(1-$L21)/Conversion_kWh_to_MJ)</f>
        <v>0</v>
      </c>
      <c r="O21" s="12"/>
      <c r="S21" s="35" t="str">
        <f t="shared" ref="S21:S30" si="3">IF(B21="", "", IF(D21="MWh/yr (LHV)", "Use column to right", "Enter data here"))</f>
        <v>Use column to right</v>
      </c>
      <c r="T21" s="300" t="e">
        <f>Initial_questions!$E$43*1/Conversion_kWh_to_MJ</f>
        <v>#VALUE!</v>
      </c>
      <c r="U21" s="300" t="s">
        <v>1062</v>
      </c>
      <c r="V21" s="243" t="str">
        <f t="shared" ref="V21:V30" si="4">IFERROR(IF(D21="tonnes/yr", $S21*$E21/($N$9*3.6), $T21*$E21*3.6/($N$9*3.6)), "Unfilled fields to left")</f>
        <v>Unfilled fields to left</v>
      </c>
      <c r="X21" s="21"/>
      <c r="Y21" s="19"/>
    </row>
    <row r="22" spans="2:25">
      <c r="B22" s="186" t="s">
        <v>1021</v>
      </c>
      <c r="C22" s="184" t="s">
        <v>1125</v>
      </c>
      <c r="D22" s="179" t="s">
        <v>479</v>
      </c>
      <c r="E22" s="35"/>
      <c r="F22" s="24"/>
      <c r="G22" s="24"/>
      <c r="H22" s="24"/>
      <c r="I22" s="24"/>
      <c r="J22" s="300"/>
      <c r="K22" s="300"/>
      <c r="L22" s="302"/>
      <c r="M22" s="302"/>
      <c r="N22" s="242">
        <f t="shared" si="2"/>
        <v>0</v>
      </c>
      <c r="O22" s="12"/>
      <c r="S22" s="35" t="str">
        <f t="shared" si="3"/>
        <v>Use column to right</v>
      </c>
      <c r="T22" s="300" t="e">
        <f>Initial_questions!$E$43*1/Conversion_kWh_to_MJ</f>
        <v>#VALUE!</v>
      </c>
      <c r="U22" s="300" t="s">
        <v>1062</v>
      </c>
      <c r="V22" s="357" t="str">
        <f t="shared" si="4"/>
        <v>Unfilled fields to left</v>
      </c>
      <c r="X22" s="25"/>
      <c r="Y22" s="19"/>
    </row>
    <row r="23" spans="2:25">
      <c r="B23" s="186" t="s">
        <v>1021</v>
      </c>
      <c r="C23" s="184" t="s">
        <v>1126</v>
      </c>
      <c r="D23" s="179" t="s">
        <v>479</v>
      </c>
      <c r="E23" s="35"/>
      <c r="F23" s="24"/>
      <c r="G23" s="24"/>
      <c r="H23" s="24"/>
      <c r="I23" s="24"/>
      <c r="J23" s="300"/>
      <c r="K23" s="300"/>
      <c r="L23" s="302"/>
      <c r="M23" s="302"/>
      <c r="N23" s="242">
        <f t="shared" si="2"/>
        <v>0</v>
      </c>
      <c r="O23" s="55"/>
      <c r="S23" s="35" t="str">
        <f t="shared" si="3"/>
        <v>Use column to right</v>
      </c>
      <c r="T23" s="300" t="e">
        <f>Initial_questions!$E$43*1/Conversion_kWh_to_MJ</f>
        <v>#VALUE!</v>
      </c>
      <c r="U23" s="300" t="s">
        <v>1062</v>
      </c>
      <c r="V23" s="357" t="str">
        <f t="shared" si="4"/>
        <v>Unfilled fields to left</v>
      </c>
      <c r="X23" s="25"/>
      <c r="Y23" s="19"/>
    </row>
    <row r="24" spans="2:25">
      <c r="B24" s="186" t="s">
        <v>1021</v>
      </c>
      <c r="C24" s="184" t="s">
        <v>1039</v>
      </c>
      <c r="D24" s="179" t="s">
        <v>479</v>
      </c>
      <c r="E24" s="35"/>
      <c r="F24" s="82"/>
      <c r="G24" s="21"/>
      <c r="H24" s="20"/>
      <c r="I24" s="36"/>
      <c r="J24" s="300"/>
      <c r="K24" s="302"/>
      <c r="L24" s="306"/>
      <c r="M24" s="306"/>
      <c r="N24" s="242">
        <f t="shared" si="2"/>
        <v>0</v>
      </c>
      <c r="O24" s="19"/>
      <c r="P24" s="19"/>
      <c r="Q24" s="19"/>
      <c r="R24" s="19"/>
      <c r="S24" s="35" t="str">
        <f t="shared" si="3"/>
        <v>Use column to right</v>
      </c>
      <c r="T24" s="35" t="str">
        <f t="shared" ref="T24:T30" si="5">IF(B24="", "", IF(D24="MWh/yr (LHV)", "Enter data here", "Use column to left"))</f>
        <v>Enter data here</v>
      </c>
      <c r="U24" s="35" t="s">
        <v>1040</v>
      </c>
      <c r="V24" s="357" t="str">
        <f t="shared" si="4"/>
        <v>Unfilled fields to left</v>
      </c>
      <c r="X24" s="25"/>
      <c r="Y24" s="19"/>
    </row>
    <row r="25" spans="2:25">
      <c r="B25" s="186" t="s">
        <v>1021</v>
      </c>
      <c r="C25" s="184" t="s">
        <v>1041</v>
      </c>
      <c r="D25" s="179" t="s">
        <v>479</v>
      </c>
      <c r="E25" s="35"/>
      <c r="F25" s="21"/>
      <c r="G25" s="21"/>
      <c r="H25" s="20"/>
      <c r="I25" s="36"/>
      <c r="J25" s="300"/>
      <c r="K25" s="302"/>
      <c r="L25" s="306"/>
      <c r="M25" s="306"/>
      <c r="N25" s="242">
        <f t="shared" si="2"/>
        <v>0</v>
      </c>
      <c r="O25" s="19"/>
      <c r="P25" s="19"/>
      <c r="Q25" s="19"/>
      <c r="R25" s="19"/>
      <c r="S25" s="35" t="str">
        <f t="shared" si="3"/>
        <v>Use column to right</v>
      </c>
      <c r="T25" s="35" t="str">
        <f t="shared" si="5"/>
        <v>Enter data here</v>
      </c>
      <c r="U25" s="35" t="s">
        <v>1040</v>
      </c>
      <c r="V25" s="357" t="str">
        <f t="shared" si="4"/>
        <v>Unfilled fields to left</v>
      </c>
      <c r="X25" s="25"/>
      <c r="Y25" s="19"/>
    </row>
    <row r="26" spans="2:25">
      <c r="B26" s="186" t="s">
        <v>1042</v>
      </c>
      <c r="C26" s="184" t="s">
        <v>1043</v>
      </c>
      <c r="D26" s="179" t="s">
        <v>459</v>
      </c>
      <c r="E26" s="35"/>
      <c r="F26" s="21"/>
      <c r="G26" s="21"/>
      <c r="H26" s="21"/>
      <c r="I26" s="21"/>
      <c r="J26" s="306"/>
      <c r="K26" s="306"/>
      <c r="L26" s="302"/>
      <c r="M26" s="302"/>
      <c r="N26" s="242">
        <f t="shared" si="2"/>
        <v>0</v>
      </c>
      <c r="O26" s="19"/>
      <c r="P26" s="19"/>
      <c r="Q26" s="19"/>
      <c r="R26" s="19"/>
      <c r="S26" s="35" t="str">
        <f t="shared" si="3"/>
        <v>Enter data here</v>
      </c>
      <c r="T26" s="35" t="str">
        <f t="shared" si="5"/>
        <v>Use column to left</v>
      </c>
      <c r="U26" s="35" t="s">
        <v>1044</v>
      </c>
      <c r="V26" s="357" t="str">
        <f t="shared" si="4"/>
        <v>Unfilled fields to left</v>
      </c>
      <c r="X26" s="21"/>
      <c r="Y26" s="19"/>
    </row>
    <row r="27" spans="2:25">
      <c r="B27" s="186" t="s">
        <v>1042</v>
      </c>
      <c r="C27" s="184" t="s">
        <v>1045</v>
      </c>
      <c r="D27" s="179" t="s">
        <v>459</v>
      </c>
      <c r="E27" s="35"/>
      <c r="F27" s="21"/>
      <c r="G27" s="21"/>
      <c r="H27" s="21"/>
      <c r="I27" s="21"/>
      <c r="J27" s="306"/>
      <c r="K27" s="306"/>
      <c r="L27" s="302"/>
      <c r="M27" s="302"/>
      <c r="N27" s="242">
        <f t="shared" si="2"/>
        <v>0</v>
      </c>
      <c r="O27" s="19"/>
      <c r="P27" s="19"/>
      <c r="Q27" s="19"/>
      <c r="R27" s="19"/>
      <c r="S27" s="35" t="str">
        <f t="shared" si="3"/>
        <v>Enter data here</v>
      </c>
      <c r="T27" s="35" t="str">
        <f t="shared" si="5"/>
        <v>Use column to left</v>
      </c>
      <c r="U27" s="35" t="s">
        <v>1044</v>
      </c>
      <c r="V27" s="357" t="str">
        <f t="shared" si="4"/>
        <v>Unfilled fields to left</v>
      </c>
      <c r="X27" s="21"/>
      <c r="Y27" s="19"/>
    </row>
    <row r="28" spans="2:25">
      <c r="B28" s="186" t="s">
        <v>1042</v>
      </c>
      <c r="C28" s="184" t="s">
        <v>1046</v>
      </c>
      <c r="D28" s="179" t="s">
        <v>459</v>
      </c>
      <c r="E28" s="35"/>
      <c r="F28" s="21"/>
      <c r="G28" s="21"/>
      <c r="H28" s="21"/>
      <c r="I28" s="21"/>
      <c r="J28" s="306"/>
      <c r="K28" s="306"/>
      <c r="L28" s="302"/>
      <c r="M28" s="302"/>
      <c r="N28" s="242">
        <f t="shared" si="2"/>
        <v>0</v>
      </c>
      <c r="O28" s="19"/>
      <c r="P28" s="19"/>
      <c r="Q28" s="19"/>
      <c r="R28" s="19"/>
      <c r="S28" s="35" t="str">
        <f t="shared" si="3"/>
        <v>Enter data here</v>
      </c>
      <c r="T28" s="35" t="str">
        <f t="shared" si="5"/>
        <v>Use column to left</v>
      </c>
      <c r="U28" s="35" t="s">
        <v>1044</v>
      </c>
      <c r="V28" s="357" t="str">
        <f t="shared" si="4"/>
        <v>Unfilled fields to left</v>
      </c>
      <c r="X28" s="21"/>
      <c r="Y28" s="19"/>
    </row>
    <row r="29" spans="2:25">
      <c r="B29" s="16"/>
      <c r="C29" s="15"/>
      <c r="D29" s="179"/>
      <c r="E29" s="35"/>
      <c r="F29" s="21"/>
      <c r="G29" s="21"/>
      <c r="H29" s="20"/>
      <c r="I29" s="36"/>
      <c r="J29" s="300"/>
      <c r="K29" s="302"/>
      <c r="L29" s="302"/>
      <c r="M29" s="302"/>
      <c r="N29" s="242">
        <f t="shared" si="2"/>
        <v>0</v>
      </c>
      <c r="O29" s="19"/>
      <c r="P29" s="19"/>
      <c r="Q29" s="19"/>
      <c r="R29" s="19"/>
      <c r="S29" s="35" t="str">
        <f t="shared" si="3"/>
        <v/>
      </c>
      <c r="T29" s="35" t="str">
        <f t="shared" si="5"/>
        <v/>
      </c>
      <c r="U29" s="35"/>
      <c r="V29" s="357" t="str">
        <f t="shared" si="4"/>
        <v>Unfilled fields to left</v>
      </c>
      <c r="X29" s="25"/>
      <c r="Y29" s="19"/>
    </row>
    <row r="30" spans="2:25">
      <c r="B30" s="16"/>
      <c r="C30" s="15"/>
      <c r="D30" s="179"/>
      <c r="E30" s="35"/>
      <c r="F30" s="21"/>
      <c r="G30" s="21"/>
      <c r="H30" s="20"/>
      <c r="I30" s="36"/>
      <c r="J30" s="300"/>
      <c r="K30" s="302"/>
      <c r="L30" s="302"/>
      <c r="M30" s="302"/>
      <c r="N30" s="242">
        <f t="shared" si="2"/>
        <v>0</v>
      </c>
      <c r="O30" s="19"/>
      <c r="P30" s="19"/>
      <c r="Q30" s="19"/>
      <c r="R30" s="19"/>
      <c r="S30" s="35" t="str">
        <f t="shared" si="3"/>
        <v/>
      </c>
      <c r="T30" s="35" t="str">
        <f t="shared" si="5"/>
        <v/>
      </c>
      <c r="U30" s="35"/>
      <c r="V30" s="357" t="str">
        <f t="shared" si="4"/>
        <v>Unfilled fields to left</v>
      </c>
      <c r="X30" s="25"/>
      <c r="Y30" s="19"/>
    </row>
    <row r="31" spans="2:25">
      <c r="C31" s="262"/>
      <c r="D31" s="262"/>
      <c r="E31" s="509"/>
      <c r="F31" s="79"/>
      <c r="G31" s="79"/>
      <c r="H31" s="260"/>
      <c r="I31" s="255"/>
      <c r="J31" s="482"/>
      <c r="K31" s="254"/>
      <c r="L31" s="73"/>
      <c r="M31" s="73"/>
      <c r="N31" s="73"/>
      <c r="O31" s="12"/>
      <c r="S31" s="482"/>
      <c r="T31" s="254"/>
      <c r="U31" s="254"/>
      <c r="V31" s="254"/>
      <c r="X31" s="253"/>
      <c r="Y31" s="19"/>
    </row>
    <row r="32" spans="2:25" ht="31">
      <c r="B32" s="80" t="str">
        <f>IF(AND(GHG_NG_REFORM_CCS!$D$8="Default",Master_Switch="On"),"Default data selected for the emissions category below, move to the next emissions category within this step","")</f>
        <v/>
      </c>
      <c r="C32" s="262"/>
      <c r="D32" s="262"/>
      <c r="E32" s="509"/>
      <c r="F32" s="79"/>
      <c r="G32" s="79"/>
      <c r="H32" s="260"/>
      <c r="I32" s="255"/>
      <c r="J32" s="482"/>
      <c r="K32" s="254"/>
      <c r="L32" s="73"/>
      <c r="M32" s="73"/>
      <c r="N32" s="73"/>
      <c r="O32" s="12"/>
      <c r="S32" s="482"/>
      <c r="T32" s="254"/>
      <c r="U32" s="254"/>
      <c r="V32" s="254"/>
      <c r="X32" s="253"/>
      <c r="Y32" s="19"/>
    </row>
    <row r="33" spans="2:25" ht="16.5">
      <c r="B33" s="145" t="s">
        <v>1127</v>
      </c>
      <c r="C33" s="252"/>
      <c r="D33" s="252"/>
      <c r="E33" s="510"/>
      <c r="F33" s="251"/>
      <c r="G33" s="251"/>
      <c r="H33" s="250"/>
      <c r="I33" s="249"/>
      <c r="J33" s="487"/>
      <c r="K33" s="488"/>
      <c r="L33" s="476"/>
      <c r="M33" s="476"/>
      <c r="N33" s="476"/>
      <c r="O33" s="158"/>
      <c r="P33" s="158"/>
      <c r="Q33" s="158"/>
      <c r="R33" s="158"/>
      <c r="S33" s="487"/>
      <c r="T33" s="488"/>
      <c r="U33" s="488"/>
      <c r="V33" s="153">
        <f>SUM(V34:V43)</f>
        <v>0</v>
      </c>
      <c r="X33" s="253"/>
      <c r="Y33" s="19"/>
    </row>
    <row r="34" spans="2:25">
      <c r="B34" s="186" t="s">
        <v>1048</v>
      </c>
      <c r="C34" s="184" t="s">
        <v>1128</v>
      </c>
      <c r="D34" s="179" t="s">
        <v>459</v>
      </c>
      <c r="E34" s="35"/>
      <c r="F34" s="21"/>
      <c r="G34" s="21"/>
      <c r="H34" s="21"/>
      <c r="I34" s="21"/>
      <c r="J34" s="306"/>
      <c r="K34" s="306"/>
      <c r="L34" s="306"/>
      <c r="M34" s="306"/>
      <c r="N34" s="242">
        <f t="shared" ref="N34:N43" si="6">IF($D34="MWh/yr (LHV)",$E34,$J34*$E34*(1-$L34)/Conversion_kWh_to_MJ)</f>
        <v>0</v>
      </c>
      <c r="O34" s="12"/>
      <c r="S34" s="35" t="s">
        <v>1129</v>
      </c>
      <c r="T34" s="35" t="s">
        <v>1130</v>
      </c>
      <c r="U34" s="35" t="s">
        <v>1050</v>
      </c>
      <c r="V34" s="242" t="str">
        <f t="shared" ref="V34:V43" si="7">IFERROR(IF(D34="tonnes/yr", $S34*$E34/($N$9*3.6), $T34*$E34*3.6/($N$9*3.6)), "Unfilled fields to left")</f>
        <v>Unfilled fields to left</v>
      </c>
      <c r="X34" s="21"/>
      <c r="Y34" s="19"/>
    </row>
    <row r="35" spans="2:25">
      <c r="B35" s="186" t="s">
        <v>1051</v>
      </c>
      <c r="C35" s="184" t="s">
        <v>1010</v>
      </c>
      <c r="D35" s="179" t="s">
        <v>459</v>
      </c>
      <c r="E35" s="35"/>
      <c r="F35" s="21"/>
      <c r="G35" s="21"/>
      <c r="H35" s="20"/>
      <c r="I35" s="36"/>
      <c r="J35" s="300"/>
      <c r="K35" s="302"/>
      <c r="L35" s="302"/>
      <c r="M35" s="302"/>
      <c r="N35" s="242">
        <f t="shared" si="6"/>
        <v>0</v>
      </c>
      <c r="O35" s="12"/>
      <c r="S35" s="35" t="s">
        <v>1129</v>
      </c>
      <c r="T35" s="35" t="s">
        <v>1130</v>
      </c>
      <c r="U35" s="35" t="s">
        <v>1050</v>
      </c>
      <c r="V35" s="242" t="str">
        <f t="shared" si="7"/>
        <v>Unfilled fields to left</v>
      </c>
      <c r="X35" s="25"/>
      <c r="Y35" s="19"/>
    </row>
    <row r="36" spans="2:25">
      <c r="B36" s="186" t="s">
        <v>1051</v>
      </c>
      <c r="C36" s="184" t="s">
        <v>1053</v>
      </c>
      <c r="D36" s="179" t="s">
        <v>459</v>
      </c>
      <c r="E36" s="35"/>
      <c r="F36" s="21"/>
      <c r="G36" s="21"/>
      <c r="H36" s="20"/>
      <c r="I36" s="36"/>
      <c r="J36" s="300"/>
      <c r="K36" s="302"/>
      <c r="L36" s="302"/>
      <c r="M36" s="302"/>
      <c r="N36" s="242">
        <f t="shared" si="6"/>
        <v>0</v>
      </c>
      <c r="O36" s="12"/>
      <c r="S36" s="35" t="s">
        <v>1129</v>
      </c>
      <c r="T36" s="35" t="s">
        <v>1130</v>
      </c>
      <c r="U36" s="35" t="s">
        <v>1050</v>
      </c>
      <c r="V36" s="242" t="str">
        <f t="shared" si="7"/>
        <v>Unfilled fields to left</v>
      </c>
      <c r="X36" s="25"/>
      <c r="Y36" s="19"/>
    </row>
    <row r="37" spans="2:25">
      <c r="B37" s="186" t="s">
        <v>1051</v>
      </c>
      <c r="C37" s="184"/>
      <c r="D37" s="179"/>
      <c r="E37" s="35"/>
      <c r="F37" s="21"/>
      <c r="G37" s="21"/>
      <c r="H37" s="20"/>
      <c r="I37" s="36"/>
      <c r="J37" s="300"/>
      <c r="K37" s="302"/>
      <c r="L37" s="302"/>
      <c r="M37" s="302"/>
      <c r="N37" s="242">
        <f t="shared" si="6"/>
        <v>0</v>
      </c>
      <c r="O37" s="12"/>
      <c r="S37" s="35" t="s">
        <v>1129</v>
      </c>
      <c r="T37" s="35" t="s">
        <v>1130</v>
      </c>
      <c r="U37" s="35" t="s">
        <v>1050</v>
      </c>
      <c r="V37" s="242" t="str">
        <f t="shared" si="7"/>
        <v>Unfilled fields to left</v>
      </c>
      <c r="X37" s="25"/>
      <c r="Y37" s="19"/>
    </row>
    <row r="38" spans="2:25">
      <c r="B38" s="186" t="s">
        <v>1054</v>
      </c>
      <c r="C38" s="184" t="s">
        <v>1055</v>
      </c>
      <c r="D38" s="179" t="s">
        <v>459</v>
      </c>
      <c r="E38" s="35"/>
      <c r="F38" s="21"/>
      <c r="G38" s="21"/>
      <c r="H38" s="20"/>
      <c r="I38" s="36"/>
      <c r="J38" s="300"/>
      <c r="K38" s="302"/>
      <c r="L38" s="302"/>
      <c r="M38" s="302"/>
      <c r="N38" s="242">
        <f t="shared" si="6"/>
        <v>0</v>
      </c>
      <c r="O38" s="12"/>
      <c r="S38" s="35" t="s">
        <v>1129</v>
      </c>
      <c r="T38" s="35" t="s">
        <v>1130</v>
      </c>
      <c r="U38" s="35" t="s">
        <v>1050</v>
      </c>
      <c r="V38" s="242" t="str">
        <f t="shared" si="7"/>
        <v>Unfilled fields to left</v>
      </c>
      <c r="X38" s="25"/>
      <c r="Y38" s="19"/>
    </row>
    <row r="39" spans="2:25">
      <c r="B39" s="186" t="s">
        <v>1054</v>
      </c>
      <c r="C39" s="184"/>
      <c r="D39" s="179"/>
      <c r="E39" s="35"/>
      <c r="F39" s="21"/>
      <c r="G39" s="21"/>
      <c r="H39" s="20"/>
      <c r="I39" s="36"/>
      <c r="J39" s="300"/>
      <c r="K39" s="302"/>
      <c r="L39" s="302"/>
      <c r="M39" s="302"/>
      <c r="N39" s="242">
        <f t="shared" si="6"/>
        <v>0</v>
      </c>
      <c r="O39" s="12"/>
      <c r="S39" s="35" t="s">
        <v>1129</v>
      </c>
      <c r="T39" s="35" t="s">
        <v>1130</v>
      </c>
      <c r="U39" s="35" t="s">
        <v>1050</v>
      </c>
      <c r="V39" s="242" t="str">
        <f t="shared" si="7"/>
        <v>Unfilled fields to left</v>
      </c>
      <c r="X39" s="25"/>
      <c r="Y39" s="19"/>
    </row>
    <row r="40" spans="2:25">
      <c r="B40" s="16"/>
      <c r="C40" s="15"/>
      <c r="D40" s="179"/>
      <c r="E40" s="35"/>
      <c r="F40" s="21"/>
      <c r="G40" s="21"/>
      <c r="H40" s="20"/>
      <c r="I40" s="36"/>
      <c r="J40" s="300"/>
      <c r="K40" s="302"/>
      <c r="L40" s="302"/>
      <c r="M40" s="302"/>
      <c r="N40" s="242">
        <f t="shared" si="6"/>
        <v>0</v>
      </c>
      <c r="O40" s="12"/>
      <c r="S40" s="300"/>
      <c r="T40" s="302"/>
      <c r="U40" s="302"/>
      <c r="V40" s="242" t="str">
        <f t="shared" si="7"/>
        <v>Unfilled fields to left</v>
      </c>
      <c r="X40" s="25"/>
      <c r="Y40" s="19"/>
    </row>
    <row r="41" spans="2:25">
      <c r="B41" s="16"/>
      <c r="C41" s="15"/>
      <c r="D41" s="179"/>
      <c r="E41" s="35"/>
      <c r="F41" s="21"/>
      <c r="G41" s="21"/>
      <c r="H41" s="20"/>
      <c r="I41" s="36"/>
      <c r="J41" s="300"/>
      <c r="K41" s="302"/>
      <c r="L41" s="302"/>
      <c r="M41" s="302"/>
      <c r="N41" s="242">
        <f t="shared" si="6"/>
        <v>0</v>
      </c>
      <c r="O41" s="12"/>
      <c r="S41" s="300"/>
      <c r="T41" s="302"/>
      <c r="U41" s="302"/>
      <c r="V41" s="242" t="str">
        <f t="shared" si="7"/>
        <v>Unfilled fields to left</v>
      </c>
      <c r="X41" s="25"/>
      <c r="Y41" s="19"/>
    </row>
    <row r="42" spans="2:25">
      <c r="B42" s="16"/>
      <c r="C42" s="15"/>
      <c r="D42" s="179"/>
      <c r="E42" s="35"/>
      <c r="F42" s="21"/>
      <c r="G42" s="21"/>
      <c r="H42" s="20"/>
      <c r="I42" s="36"/>
      <c r="J42" s="300"/>
      <c r="K42" s="302"/>
      <c r="L42" s="302"/>
      <c r="M42" s="302"/>
      <c r="N42" s="242">
        <f t="shared" si="6"/>
        <v>0</v>
      </c>
      <c r="O42" s="12"/>
      <c r="S42" s="300"/>
      <c r="T42" s="302"/>
      <c r="U42" s="302"/>
      <c r="V42" s="242" t="str">
        <f t="shared" si="7"/>
        <v>Unfilled fields to left</v>
      </c>
      <c r="X42" s="25"/>
      <c r="Y42" s="19"/>
    </row>
    <row r="43" spans="2:25">
      <c r="B43" s="16"/>
      <c r="C43" s="15"/>
      <c r="D43" s="179"/>
      <c r="E43" s="35"/>
      <c r="F43" s="21"/>
      <c r="G43" s="21"/>
      <c r="H43" s="20"/>
      <c r="I43" s="36"/>
      <c r="J43" s="300"/>
      <c r="K43" s="302"/>
      <c r="L43" s="302"/>
      <c r="M43" s="302"/>
      <c r="N43" s="242">
        <f t="shared" si="6"/>
        <v>0</v>
      </c>
      <c r="O43" s="12"/>
      <c r="S43" s="300"/>
      <c r="T43" s="302"/>
      <c r="U43" s="302"/>
      <c r="V43" s="242" t="str">
        <f t="shared" si="7"/>
        <v>Unfilled fields to left</v>
      </c>
      <c r="X43" s="25"/>
      <c r="Y43" s="19"/>
    </row>
    <row r="44" spans="2:25">
      <c r="B44" s="14"/>
      <c r="C44" s="83"/>
      <c r="D44" s="83"/>
      <c r="E44" s="498"/>
      <c r="F44" s="84"/>
      <c r="G44" s="85"/>
      <c r="H44" s="86"/>
      <c r="I44" s="86"/>
      <c r="J44" s="87"/>
      <c r="K44" s="87"/>
      <c r="L44" s="87"/>
      <c r="M44" s="87"/>
      <c r="N44" s="87"/>
      <c r="O44" s="28"/>
      <c r="P44" s="14"/>
      <c r="Q44" s="14"/>
      <c r="R44" s="14"/>
      <c r="S44" s="87"/>
      <c r="T44" s="87"/>
      <c r="U44" s="87"/>
      <c r="V44" s="87"/>
      <c r="X44" s="248"/>
      <c r="Y44" s="19"/>
    </row>
    <row r="45" spans="2:25" s="14" customFormat="1" ht="16.5">
      <c r="B45" s="145" t="s">
        <v>1131</v>
      </c>
      <c r="C45" s="159"/>
      <c r="D45" s="159"/>
      <c r="E45" s="499"/>
      <c r="F45" s="160"/>
      <c r="G45" s="161"/>
      <c r="H45" s="160"/>
      <c r="I45" s="160"/>
      <c r="J45" s="307"/>
      <c r="K45" s="307"/>
      <c r="L45" s="476"/>
      <c r="M45" s="476"/>
      <c r="N45" s="476"/>
      <c r="O45" s="158"/>
      <c r="P45" s="158"/>
      <c r="Q45" s="158"/>
      <c r="R45" s="158"/>
      <c r="S45" s="307"/>
      <c r="T45" s="307"/>
      <c r="U45" s="307"/>
      <c r="V45" s="153">
        <f>SUM(V46:V50)</f>
        <v>0</v>
      </c>
      <c r="X45" s="79"/>
    </row>
    <row r="46" spans="2:25" s="14" customFormat="1">
      <c r="B46" s="16" t="s">
        <v>1057</v>
      </c>
      <c r="C46" s="184" t="s">
        <v>1132</v>
      </c>
      <c r="D46" s="179" t="s">
        <v>459</v>
      </c>
      <c r="E46" s="35"/>
      <c r="F46" s="24"/>
      <c r="G46" s="24"/>
      <c r="H46" s="24"/>
      <c r="I46" s="24"/>
      <c r="J46" s="35"/>
      <c r="K46" s="35"/>
      <c r="L46" s="306"/>
      <c r="M46" s="306"/>
      <c r="N46" s="242">
        <f>IF($D46="MWh/yr (LHV)",$E46,$J46*$E46*(1-$L46)/Conversion_kWh_to_MJ)</f>
        <v>0</v>
      </c>
      <c r="O46" s="12"/>
      <c r="P46" s="12"/>
      <c r="Q46" s="12"/>
      <c r="R46" s="12"/>
      <c r="S46" s="300">
        <v>1000</v>
      </c>
      <c r="T46" s="477"/>
      <c r="U46" s="35" t="s">
        <v>1110</v>
      </c>
      <c r="V46" s="242" t="str">
        <f>IFERROR(IF(D46="tonnes/yr", $S46*$E46/($N$9*3.6), $T46*$E46*3.6/($N$9*3.6)), "Unfilled fields to left")</f>
        <v>Unfilled fields to left</v>
      </c>
      <c r="W46" s="112"/>
      <c r="X46" s="21"/>
    </row>
    <row r="47" spans="2:25" s="14" customFormat="1">
      <c r="B47" s="16"/>
      <c r="C47" s="15"/>
      <c r="D47" s="179"/>
      <c r="E47" s="35"/>
      <c r="F47" s="63"/>
      <c r="G47" s="63"/>
      <c r="H47" s="63"/>
      <c r="I47" s="63"/>
      <c r="J47" s="304"/>
      <c r="K47" s="306"/>
      <c r="L47" s="306"/>
      <c r="M47" s="306"/>
      <c r="N47" s="242">
        <f>IF($D47="MWh/yr (LHV)",$E47,$J47*$E47*(1-$L47)/Conversion_kWh_to_MJ)</f>
        <v>0</v>
      </c>
      <c r="O47" s="12"/>
      <c r="P47" s="12"/>
      <c r="Q47" s="12"/>
      <c r="R47" s="12"/>
      <c r="S47" s="302"/>
      <c r="T47" s="477"/>
      <c r="U47" s="302"/>
      <c r="V47" s="242" t="str">
        <f>IFERROR(IF(D47="tonnes/yr", $S47*$E47/($N$9*3.6), $T47*$E47*3.6/($N$9*3.6)), "Unfilled fields to left")</f>
        <v>Unfilled fields to left</v>
      </c>
      <c r="X47" s="21"/>
    </row>
    <row r="48" spans="2:25" s="14" customFormat="1">
      <c r="B48" s="64"/>
      <c r="C48" s="15"/>
      <c r="D48" s="179"/>
      <c r="E48" s="35"/>
      <c r="F48" s="21"/>
      <c r="G48" s="21"/>
      <c r="H48" s="63"/>
      <c r="I48" s="63"/>
      <c r="J48" s="304"/>
      <c r="K48" s="306"/>
      <c r="L48" s="306"/>
      <c r="M48" s="306"/>
      <c r="N48" s="242">
        <f>IF($D48="MWh/yr (LHV)",$E48,$J48*$E48*(1-$L48)/Conversion_kWh_to_MJ)</f>
        <v>0</v>
      </c>
      <c r="O48" s="19"/>
      <c r="P48" s="19"/>
      <c r="Q48" s="19"/>
      <c r="R48" s="19"/>
      <c r="S48" s="308"/>
      <c r="T48" s="477"/>
      <c r="U48" s="302"/>
      <c r="V48" s="242" t="str">
        <f>IFERROR(IF(D48="tonnes/yr", $S48*$E48/($N$9*3.6), $T48*$E48*3.6/($N$9*3.6)), "Unfilled fields to left")</f>
        <v>Unfilled fields to left</v>
      </c>
      <c r="X48" s="65"/>
    </row>
    <row r="49" spans="2:25" s="14" customFormat="1">
      <c r="B49" s="64"/>
      <c r="C49" s="15"/>
      <c r="D49" s="179"/>
      <c r="E49" s="35"/>
      <c r="F49" s="21"/>
      <c r="G49" s="21"/>
      <c r="H49" s="21"/>
      <c r="I49" s="21"/>
      <c r="J49" s="306"/>
      <c r="K49" s="306"/>
      <c r="L49" s="306"/>
      <c r="M49" s="306"/>
      <c r="N49" s="242">
        <f>IF($D49="MWh/yr (LHV)",$E49,$J49*$E49*(1-$L49)/Conversion_kWh_to_MJ)</f>
        <v>0</v>
      </c>
      <c r="O49" s="19"/>
      <c r="P49" s="19"/>
      <c r="Q49" s="19"/>
      <c r="R49" s="19"/>
      <c r="S49" s="308"/>
      <c r="T49" s="477"/>
      <c r="U49" s="302"/>
      <c r="V49" s="242" t="str">
        <f>IFERROR(IF(D49="tonnes/yr", $S49*$E49/($N$9*3.6), $T49*$E49*3.6/($N$9*3.6)), "Unfilled fields to left")</f>
        <v>Unfilled fields to left</v>
      </c>
      <c r="X49" s="65"/>
    </row>
    <row r="50" spans="2:25" s="14" customFormat="1">
      <c r="B50" s="64"/>
      <c r="C50" s="15"/>
      <c r="D50" s="179"/>
      <c r="E50" s="35"/>
      <c r="F50" s="21"/>
      <c r="G50" s="21"/>
      <c r="H50" s="21"/>
      <c r="I50" s="21"/>
      <c r="J50" s="306"/>
      <c r="K50" s="306"/>
      <c r="L50" s="306"/>
      <c r="M50" s="306"/>
      <c r="N50" s="242">
        <f>IF($D50="MWh/yr (LHV)",$E50,$J50*$E50*(1-$L50)/Conversion_kWh_to_MJ)</f>
        <v>0</v>
      </c>
      <c r="O50" s="19"/>
      <c r="P50" s="19"/>
      <c r="Q50" s="19"/>
      <c r="R50" s="19"/>
      <c r="S50" s="308"/>
      <c r="T50" s="477"/>
      <c r="U50" s="302"/>
      <c r="V50" s="242" t="str">
        <f>IFERROR(IF(D50="tonnes/yr", $S50*$E50/($N$9*3.6), $T50*$E50*3.6/($N$9*3.6)), "Unfilled fields to left")</f>
        <v>Unfilled fields to left</v>
      </c>
      <c r="X50" s="65"/>
    </row>
    <row r="51" spans="2:25">
      <c r="B51" s="14"/>
      <c r="C51" s="83"/>
      <c r="D51" s="83"/>
      <c r="E51" s="498"/>
      <c r="F51" s="84"/>
      <c r="G51" s="85"/>
      <c r="H51" s="86"/>
      <c r="I51" s="86"/>
      <c r="J51" s="87"/>
      <c r="K51" s="87"/>
      <c r="L51" s="142"/>
      <c r="M51" s="142"/>
      <c r="N51" s="73"/>
      <c r="O51" s="19"/>
      <c r="P51" s="19"/>
      <c r="Q51" s="19"/>
      <c r="R51" s="19"/>
      <c r="S51" s="87"/>
      <c r="T51" s="87"/>
      <c r="U51" s="87"/>
      <c r="V51" s="87"/>
      <c r="X51" s="248"/>
      <c r="Y51" s="19"/>
    </row>
    <row r="52" spans="2:25" ht="16.5">
      <c r="B52" s="145" t="s">
        <v>1060</v>
      </c>
      <c r="C52" s="252"/>
      <c r="D52" s="252"/>
      <c r="E52" s="510"/>
      <c r="F52" s="251"/>
      <c r="G52" s="251"/>
      <c r="H52" s="250"/>
      <c r="I52" s="249"/>
      <c r="J52" s="487"/>
      <c r="K52" s="488"/>
      <c r="L52" s="476"/>
      <c r="M52" s="476"/>
      <c r="N52" s="476"/>
      <c r="O52" s="158"/>
      <c r="P52" s="158"/>
      <c r="Q52" s="158"/>
      <c r="R52" s="158"/>
      <c r="S52" s="487"/>
      <c r="T52" s="488"/>
      <c r="U52" s="488"/>
      <c r="V52" s="153">
        <f>SUM(V53:V58)</f>
        <v>0</v>
      </c>
      <c r="X52" s="253"/>
      <c r="Y52" s="19"/>
    </row>
    <row r="53" spans="2:25" s="14" customFormat="1">
      <c r="B53" s="186" t="s">
        <v>1021</v>
      </c>
      <c r="C53" s="184" t="s">
        <v>1061</v>
      </c>
      <c r="D53" s="179" t="s">
        <v>479</v>
      </c>
      <c r="E53" s="35"/>
      <c r="F53" s="24"/>
      <c r="G53" s="24"/>
      <c r="H53" s="24"/>
      <c r="I53" s="318"/>
      <c r="J53" s="300"/>
      <c r="K53" s="300"/>
      <c r="L53" s="306"/>
      <c r="M53" s="306"/>
      <c r="N53" s="242">
        <f t="shared" ref="N53:N58" si="8">IF($D53="MWh/yr (LHV)",$E53,$J53*$E53*(1-$L53)/Conversion_kWh_to_MJ)</f>
        <v>0</v>
      </c>
      <c r="O53" s="19"/>
      <c r="P53" s="19"/>
      <c r="Q53" s="19"/>
      <c r="R53" s="19"/>
      <c r="S53" s="300" t="str">
        <f>IF(B53="", "", IF(D53="MWh/yr (LHV)", "Use column to right", "Enter data here"))</f>
        <v>Use column to right</v>
      </c>
      <c r="T53" s="300" t="e">
        <f>Initial_questions!$E$43*1/Conversion_kWh_to_MJ</f>
        <v>#VALUE!</v>
      </c>
      <c r="U53" s="35" t="s">
        <v>1062</v>
      </c>
      <c r="V53" s="242" t="str">
        <f t="shared" ref="V53:V58" si="9">IFERROR(IF(D53="tonnes/yr", $S53*$E53/($N$9*3.6), $T53*$E53*3.6/($N$9*3.6)), "Unfilled fields to left")</f>
        <v>Unfilled fields to left</v>
      </c>
      <c r="X53" s="21"/>
    </row>
    <row r="54" spans="2:25" s="14" customFormat="1">
      <c r="B54" s="186" t="s">
        <v>1021</v>
      </c>
      <c r="C54" s="184" t="s">
        <v>1063</v>
      </c>
      <c r="D54" s="179" t="s">
        <v>479</v>
      </c>
      <c r="E54" s="35"/>
      <c r="F54" s="24"/>
      <c r="G54" s="24"/>
      <c r="H54" s="24"/>
      <c r="I54" s="24"/>
      <c r="J54" s="300"/>
      <c r="K54" s="300"/>
      <c r="L54" s="306"/>
      <c r="M54" s="306"/>
      <c r="N54" s="242">
        <f t="shared" si="8"/>
        <v>0</v>
      </c>
      <c r="O54" s="19"/>
      <c r="P54" s="19"/>
      <c r="Q54" s="19"/>
      <c r="R54" s="19"/>
      <c r="S54" s="300" t="str">
        <f>IF(B54="", "", IF(D54="MWh/yr (LHV)", "Use column to right", "Enter data here"))</f>
        <v>Use column to right</v>
      </c>
      <c r="T54" s="300" t="e">
        <f>INDEX(Proj_grid_intensity_kWh,MATCH(Operations_year,Proj_grid_year,0))/Conversion_kWh_to_MJ</f>
        <v>#N/A</v>
      </c>
      <c r="U54" s="35" t="s">
        <v>1064</v>
      </c>
      <c r="V54" s="242" t="str">
        <f t="shared" si="9"/>
        <v>Unfilled fields to left</v>
      </c>
      <c r="X54" s="65"/>
    </row>
    <row r="55" spans="2:25" s="14" customFormat="1">
      <c r="B55" s="186" t="s">
        <v>1021</v>
      </c>
      <c r="C55" s="184" t="s">
        <v>1065</v>
      </c>
      <c r="D55" s="179" t="s">
        <v>459</v>
      </c>
      <c r="E55" s="35"/>
      <c r="F55" s="24"/>
      <c r="G55" s="24"/>
      <c r="H55" s="24"/>
      <c r="I55" s="24"/>
      <c r="J55" s="300"/>
      <c r="K55" s="300"/>
      <c r="L55" s="306"/>
      <c r="M55" s="306"/>
      <c r="N55" s="242">
        <f t="shared" si="8"/>
        <v>0</v>
      </c>
      <c r="O55" s="19"/>
      <c r="P55" s="19"/>
      <c r="Q55" s="19"/>
      <c r="R55" s="19"/>
      <c r="S55" s="300" t="str">
        <f>IF(B55="", "", IF(D55="MWh/yr (LHV)", "Use column to right", "Enter data here"))</f>
        <v>Enter data here</v>
      </c>
      <c r="T55" s="300" t="str">
        <f>IF(B55="", "", IF(D55="MWh/yr (LHV)", "Enter data here", "Use column to left"))</f>
        <v>Use column to left</v>
      </c>
      <c r="U55" s="35" t="s">
        <v>1066</v>
      </c>
      <c r="V55" s="242" t="str">
        <f t="shared" si="9"/>
        <v>Unfilled fields to left</v>
      </c>
      <c r="X55" s="65"/>
    </row>
    <row r="56" spans="2:25">
      <c r="B56" s="186" t="s">
        <v>1021</v>
      </c>
      <c r="C56" s="184" t="s">
        <v>1067</v>
      </c>
      <c r="D56" s="179" t="s">
        <v>459</v>
      </c>
      <c r="E56" s="35"/>
      <c r="F56" s="21"/>
      <c r="G56" s="21"/>
      <c r="H56" s="21"/>
      <c r="I56" s="21"/>
      <c r="J56" s="306"/>
      <c r="K56" s="306"/>
      <c r="L56" s="306"/>
      <c r="M56" s="306"/>
      <c r="N56" s="242">
        <f t="shared" si="8"/>
        <v>0</v>
      </c>
      <c r="O56" s="12"/>
      <c r="S56" s="300" t="str">
        <f>IF(B56="", "", IF(D56="MWh/yr (LHV)", "Use column to right", "Enter data here"))</f>
        <v>Enter data here</v>
      </c>
      <c r="T56" s="300" t="str">
        <f>IF(B56="", "", IF(D56="MWh/yr (LHV)", "Enter data here", "Use column to left"))</f>
        <v>Use column to left</v>
      </c>
      <c r="U56" s="35" t="s">
        <v>1066</v>
      </c>
      <c r="V56" s="242" t="str">
        <f t="shared" si="9"/>
        <v>Unfilled fields to left</v>
      </c>
      <c r="X56" s="21"/>
      <c r="Y56" s="19"/>
    </row>
    <row r="57" spans="2:25">
      <c r="B57" s="186" t="s">
        <v>1021</v>
      </c>
      <c r="C57" s="184" t="s">
        <v>1068</v>
      </c>
      <c r="D57" s="179" t="s">
        <v>479</v>
      </c>
      <c r="E57" s="35"/>
      <c r="F57" s="21"/>
      <c r="G57" s="21"/>
      <c r="H57" s="21"/>
      <c r="I57" s="21"/>
      <c r="J57" s="306"/>
      <c r="K57" s="306"/>
      <c r="L57" s="306"/>
      <c r="M57" s="306"/>
      <c r="N57" s="242">
        <f t="shared" si="8"/>
        <v>0</v>
      </c>
      <c r="O57" s="12"/>
      <c r="S57" s="300" t="str">
        <f>IF(B57="", "", IF(D57="MWh/yr (LHV)", "Use column to right", "Enter data here"))</f>
        <v>Use column to right</v>
      </c>
      <c r="T57" s="300" t="e">
        <f>INDEX(Proj_grid_intensity_kWh,MATCH(Operations_year,Proj_grid_year,0))/Conversion_kWh_to_MJ</f>
        <v>#N/A</v>
      </c>
      <c r="U57" s="35" t="s">
        <v>1064</v>
      </c>
      <c r="V57" s="242" t="str">
        <f t="shared" si="9"/>
        <v>Unfilled fields to left</v>
      </c>
      <c r="X57" s="21"/>
      <c r="Y57" s="19"/>
    </row>
    <row r="58" spans="2:25">
      <c r="B58" s="16"/>
      <c r="C58" s="15"/>
      <c r="D58" s="179"/>
      <c r="E58" s="35"/>
      <c r="F58" s="21"/>
      <c r="G58" s="21"/>
      <c r="H58" s="21"/>
      <c r="I58" s="21"/>
      <c r="J58" s="306"/>
      <c r="K58" s="306"/>
      <c r="L58" s="306"/>
      <c r="M58" s="306"/>
      <c r="N58" s="242">
        <f t="shared" si="8"/>
        <v>0</v>
      </c>
      <c r="O58" s="12"/>
      <c r="S58" s="302"/>
      <c r="T58" s="302"/>
      <c r="U58" s="302"/>
      <c r="V58" s="242" t="str">
        <f t="shared" si="9"/>
        <v>Unfilled fields to left</v>
      </c>
      <c r="X58" s="21"/>
      <c r="Y58" s="19"/>
    </row>
    <row r="59" spans="2:25" s="14" customFormat="1">
      <c r="B59" s="78"/>
      <c r="C59" s="262"/>
      <c r="D59" s="262"/>
      <c r="E59" s="496"/>
      <c r="F59" s="79"/>
      <c r="G59" s="79"/>
      <c r="H59" s="260"/>
      <c r="I59" s="260"/>
      <c r="J59" s="254"/>
      <c r="K59" s="254"/>
      <c r="L59" s="73"/>
      <c r="M59" s="73"/>
      <c r="N59" s="73"/>
      <c r="O59" s="12"/>
      <c r="P59" s="12"/>
      <c r="Q59" s="12"/>
      <c r="R59" s="12"/>
      <c r="S59" s="254"/>
      <c r="T59" s="254"/>
      <c r="U59" s="254"/>
      <c r="V59" s="254"/>
      <c r="X59" s="79"/>
    </row>
    <row r="60" spans="2:25" s="14" customFormat="1" ht="16.5">
      <c r="B60" s="145" t="s">
        <v>1069</v>
      </c>
      <c r="C60" s="159"/>
      <c r="D60" s="159"/>
      <c r="E60" s="499"/>
      <c r="F60" s="160"/>
      <c r="G60" s="161"/>
      <c r="H60" s="160"/>
      <c r="I60" s="160"/>
      <c r="J60" s="307"/>
      <c r="K60" s="307"/>
      <c r="L60" s="476"/>
      <c r="M60" s="476"/>
      <c r="N60" s="476"/>
      <c r="O60" s="158"/>
      <c r="P60" s="158"/>
      <c r="Q60" s="158"/>
      <c r="R60" s="158"/>
      <c r="S60" s="307"/>
      <c r="T60" s="307"/>
      <c r="U60" s="307"/>
      <c r="V60" s="153">
        <f>SUM(V61:V65)</f>
        <v>0</v>
      </c>
      <c r="X60" s="79"/>
    </row>
    <row r="61" spans="2:25" s="14" customFormat="1">
      <c r="B61" s="16" t="s">
        <v>1070</v>
      </c>
      <c r="C61" s="184" t="s">
        <v>1133</v>
      </c>
      <c r="D61" s="179" t="s">
        <v>459</v>
      </c>
      <c r="E61" s="35">
        <f>E46*$E$80</f>
        <v>0</v>
      </c>
      <c r="F61" s="318"/>
      <c r="G61" s="318"/>
      <c r="H61" s="318"/>
      <c r="I61" s="318"/>
      <c r="J61" s="495"/>
      <c r="K61" s="35"/>
      <c r="L61" s="306"/>
      <c r="M61" s="306"/>
      <c r="N61" s="242">
        <f>IF($D61="MWh/yr (LHV)",$E61,$J61*$E61*(1-$L61)/Conversion_kWh_to_MJ)</f>
        <v>0</v>
      </c>
      <c r="O61" s="12"/>
      <c r="P61" s="12"/>
      <c r="Q61" s="12"/>
      <c r="R61" s="12"/>
      <c r="S61" s="300">
        <v>-1000</v>
      </c>
      <c r="T61" s="477"/>
      <c r="U61" s="35" t="s">
        <v>1134</v>
      </c>
      <c r="V61" s="242" t="str">
        <f>IFERROR(IF(D61="tonnes/yr", $S61*$E61/($N$9*3.6), $T61*$E61*3.6/($N$9*3.6)), "Unfilled fields to left")</f>
        <v>Unfilled fields to left</v>
      </c>
      <c r="X61" s="21"/>
    </row>
    <row r="62" spans="2:25" s="14" customFormat="1">
      <c r="B62" s="16"/>
      <c r="C62" s="15"/>
      <c r="D62" s="179"/>
      <c r="E62" s="35"/>
      <c r="F62" s="63"/>
      <c r="G62" s="63"/>
      <c r="H62" s="63"/>
      <c r="I62" s="63"/>
      <c r="J62" s="304"/>
      <c r="K62" s="306"/>
      <c r="L62" s="306"/>
      <c r="M62" s="306"/>
      <c r="N62" s="242">
        <f>IF($D62="MWh/yr (LHV)",$E62,$J62*$E62*(1-$L62)/Conversion_kWh_to_MJ)</f>
        <v>0</v>
      </c>
      <c r="O62" s="19"/>
      <c r="P62" s="19"/>
      <c r="Q62" s="19"/>
      <c r="R62" s="19"/>
      <c r="S62" s="302"/>
      <c r="T62" s="477"/>
      <c r="U62" s="302"/>
      <c r="V62" s="242" t="str">
        <f>IFERROR(IF(D62="tonnes/yr", $S62*$E62/($N$9*3.6), $T62*$E62*3.6/($N$9*3.6)), "Unfilled fields to left")</f>
        <v>Unfilled fields to left</v>
      </c>
      <c r="X62" s="21"/>
    </row>
    <row r="63" spans="2:25" s="14" customFormat="1">
      <c r="B63" s="64"/>
      <c r="C63" s="15"/>
      <c r="D63" s="179"/>
      <c r="E63" s="35"/>
      <c r="F63" s="21"/>
      <c r="G63" s="21"/>
      <c r="H63" s="63"/>
      <c r="I63" s="63"/>
      <c r="J63" s="304"/>
      <c r="K63" s="306"/>
      <c r="L63" s="306"/>
      <c r="M63" s="306"/>
      <c r="N63" s="242">
        <f>IF($D63="MWh/yr (LHV)",$E63,$J63*$E63*(1-$L63)/Conversion_kWh_to_MJ)</f>
        <v>0</v>
      </c>
      <c r="O63" s="19"/>
      <c r="P63" s="19"/>
      <c r="Q63" s="19"/>
      <c r="R63" s="19"/>
      <c r="S63" s="308"/>
      <c r="T63" s="477"/>
      <c r="U63" s="302"/>
      <c r="V63" s="242" t="str">
        <f>IFERROR(IF(D63="tonnes/yr", $S63*$E63/($N$9*3.6), $T63*$E63*3.6/($N$9*3.6)), "Unfilled fields to left")</f>
        <v>Unfilled fields to left</v>
      </c>
      <c r="X63" s="65"/>
    </row>
    <row r="64" spans="2:25" s="14" customFormat="1">
      <c r="B64" s="64"/>
      <c r="C64" s="15"/>
      <c r="D64" s="179"/>
      <c r="E64" s="35"/>
      <c r="F64" s="21"/>
      <c r="G64" s="21"/>
      <c r="H64" s="21"/>
      <c r="I64" s="21"/>
      <c r="J64" s="306"/>
      <c r="K64" s="306"/>
      <c r="L64" s="306"/>
      <c r="M64" s="306"/>
      <c r="N64" s="242">
        <f>IF($D64="MWh/yr (LHV)",$E64,$J64*$E64*(1-$L64)/Conversion_kWh_to_MJ)</f>
        <v>0</v>
      </c>
      <c r="O64" s="19"/>
      <c r="P64" s="19"/>
      <c r="Q64" s="19"/>
      <c r="R64" s="19"/>
      <c r="S64" s="308"/>
      <c r="T64" s="477"/>
      <c r="U64" s="302"/>
      <c r="V64" s="242" t="str">
        <f>IFERROR(IF(D64="tonnes/yr", $S64*$E64/($N$9*3.6), $T64*$E64*3.6/($N$9*3.6)), "Unfilled fields to left")</f>
        <v>Unfilled fields to left</v>
      </c>
      <c r="X64" s="65"/>
    </row>
    <row r="65" spans="2:25" s="14" customFormat="1">
      <c r="B65" s="64"/>
      <c r="C65" s="15"/>
      <c r="D65" s="179"/>
      <c r="E65" s="35"/>
      <c r="F65" s="21"/>
      <c r="G65" s="21"/>
      <c r="H65" s="21"/>
      <c r="I65" s="21"/>
      <c r="J65" s="306"/>
      <c r="K65" s="306"/>
      <c r="L65" s="306"/>
      <c r="M65" s="306"/>
      <c r="N65" s="242">
        <f>IF($D65="MWh/yr (LHV)",$E65,$J65*$E65*(1-$L65)/Conversion_kWh_to_MJ)</f>
        <v>0</v>
      </c>
      <c r="O65" s="19"/>
      <c r="P65" s="19"/>
      <c r="Q65" s="19"/>
      <c r="R65" s="19"/>
      <c r="S65" s="308"/>
      <c r="T65" s="477"/>
      <c r="U65" s="302"/>
      <c r="V65" s="242" t="str">
        <f>IFERROR(IF(D65="tonnes/yr", $S65*$E65/($N$9*3.6), $T65*$E65*3.6/($N$9*3.6)), "Unfilled fields to left")</f>
        <v>Unfilled fields to left</v>
      </c>
      <c r="X65" s="65"/>
    </row>
    <row r="66" spans="2:25" s="14" customFormat="1">
      <c r="B66" s="78"/>
      <c r="C66" s="262"/>
      <c r="D66" s="262"/>
      <c r="E66" s="496"/>
      <c r="F66" s="79"/>
      <c r="G66" s="79"/>
      <c r="H66" s="260"/>
      <c r="I66" s="260"/>
      <c r="J66" s="254"/>
      <c r="K66" s="254"/>
      <c r="L66" s="73"/>
      <c r="M66" s="73"/>
      <c r="N66" s="73"/>
      <c r="O66" s="12"/>
      <c r="P66" s="12"/>
      <c r="Q66" s="12"/>
      <c r="R66" s="12"/>
      <c r="S66" s="254"/>
      <c r="T66" s="254"/>
      <c r="U66" s="254"/>
      <c r="V66" s="254"/>
      <c r="X66" s="79"/>
    </row>
    <row r="67" spans="2:25" s="14" customFormat="1" ht="16.5">
      <c r="B67" s="145" t="s">
        <v>131</v>
      </c>
      <c r="C67" s="159"/>
      <c r="D67" s="159"/>
      <c r="E67" s="499"/>
      <c r="F67" s="160"/>
      <c r="G67" s="161"/>
      <c r="H67" s="160"/>
      <c r="I67" s="160"/>
      <c r="J67" s="307"/>
      <c r="K67" s="307"/>
      <c r="L67" s="476"/>
      <c r="M67" s="476"/>
      <c r="N67" s="476"/>
      <c r="O67" s="158"/>
      <c r="P67" s="158"/>
      <c r="Q67" s="158"/>
      <c r="R67" s="158"/>
      <c r="S67" s="307"/>
      <c r="T67" s="307"/>
      <c r="U67" s="307"/>
      <c r="V67" s="153">
        <f>SUM(V68:V75)</f>
        <v>0</v>
      </c>
      <c r="X67" s="79"/>
    </row>
    <row r="68" spans="2:25" s="14" customFormat="1">
      <c r="B68" s="186" t="s">
        <v>1072</v>
      </c>
      <c r="C68" s="184" t="s">
        <v>1073</v>
      </c>
      <c r="D68" s="179" t="s">
        <v>459</v>
      </c>
      <c r="E68" s="35"/>
      <c r="F68" s="24"/>
      <c r="G68" s="21"/>
      <c r="H68" s="24"/>
      <c r="I68" s="24"/>
      <c r="J68" s="495"/>
      <c r="K68" s="35"/>
      <c r="L68" s="306"/>
      <c r="M68" s="306"/>
      <c r="N68" s="242">
        <f t="shared" ref="N68:N75" si="10">IF($D68="MWh/yr (LHV)",$E68,$J68*$E68*(1-$L68)/Conversion_kWh_to_MJ)</f>
        <v>0</v>
      </c>
      <c r="O68" s="12"/>
      <c r="P68" s="12"/>
      <c r="Q68" s="12"/>
      <c r="R68" s="12"/>
      <c r="S68" s="300">
        <f t="shared" ref="S68" si="11">28*1000</f>
        <v>28000</v>
      </c>
      <c r="T68" s="477"/>
      <c r="U68" s="35" t="s">
        <v>1059</v>
      </c>
      <c r="V68" s="242" t="str">
        <f t="shared" ref="V68:V75" si="12">IFERROR(IF(D68="tonnes/yr", $S68*$E68/($N$9*3.6), $T68*$E68*3.6/($N$9*3.6)), "Unfilled fields to left")</f>
        <v>Unfilled fields to left</v>
      </c>
      <c r="X68" s="21"/>
    </row>
    <row r="69" spans="2:25" s="14" customFormat="1">
      <c r="B69" s="187" t="s">
        <v>1074</v>
      </c>
      <c r="C69" s="184" t="s">
        <v>1075</v>
      </c>
      <c r="D69" s="179" t="s">
        <v>459</v>
      </c>
      <c r="E69" s="35"/>
      <c r="F69" s="24"/>
      <c r="G69" s="65"/>
      <c r="H69" s="24"/>
      <c r="I69" s="24"/>
      <c r="J69" s="495"/>
      <c r="K69" s="35"/>
      <c r="L69" s="308"/>
      <c r="M69" s="308"/>
      <c r="N69" s="242">
        <f t="shared" si="10"/>
        <v>0</v>
      </c>
      <c r="O69" s="19"/>
      <c r="P69" s="19"/>
      <c r="Q69" s="19"/>
      <c r="R69" s="19"/>
      <c r="S69" s="300">
        <v>265000</v>
      </c>
      <c r="T69" s="477"/>
      <c r="U69" s="35" t="s">
        <v>1059</v>
      </c>
      <c r="V69" s="242" t="str">
        <f t="shared" si="12"/>
        <v>Unfilled fields to left</v>
      </c>
      <c r="X69" s="65"/>
    </row>
    <row r="70" spans="2:25" s="14" customFormat="1">
      <c r="B70" s="187" t="s">
        <v>1076</v>
      </c>
      <c r="C70" s="184" t="s">
        <v>1077</v>
      </c>
      <c r="D70" s="179" t="s">
        <v>459</v>
      </c>
      <c r="E70" s="35"/>
      <c r="F70" s="24"/>
      <c r="G70" s="65"/>
      <c r="H70" s="24"/>
      <c r="I70" s="24"/>
      <c r="J70" s="495"/>
      <c r="K70" s="35"/>
      <c r="L70" s="308"/>
      <c r="M70" s="308"/>
      <c r="N70" s="242">
        <f t="shared" si="10"/>
        <v>0</v>
      </c>
      <c r="O70" s="19"/>
      <c r="P70" s="19"/>
      <c r="Q70" s="19"/>
      <c r="R70" s="19"/>
      <c r="S70" s="300">
        <v>23500000</v>
      </c>
      <c r="T70" s="477"/>
      <c r="U70" s="35" t="s">
        <v>1059</v>
      </c>
      <c r="V70" s="242" t="str">
        <f t="shared" si="12"/>
        <v>Unfilled fields to left</v>
      </c>
      <c r="X70" s="65"/>
    </row>
    <row r="71" spans="2:25" s="14" customFormat="1">
      <c r="B71" s="187" t="s">
        <v>1078</v>
      </c>
      <c r="C71" s="184" t="s">
        <v>1079</v>
      </c>
      <c r="D71" s="179" t="s">
        <v>459</v>
      </c>
      <c r="E71" s="35"/>
      <c r="F71" s="24"/>
      <c r="G71" s="65"/>
      <c r="H71" s="24"/>
      <c r="I71" s="24"/>
      <c r="J71" s="495"/>
      <c r="K71" s="35"/>
      <c r="L71" s="308"/>
      <c r="M71" s="308"/>
      <c r="N71" s="242">
        <f t="shared" si="10"/>
        <v>0</v>
      </c>
      <c r="O71" s="19"/>
      <c r="P71" s="19"/>
      <c r="Q71" s="19"/>
      <c r="R71" s="19"/>
      <c r="S71" s="484" t="s">
        <v>1080</v>
      </c>
      <c r="T71" s="477"/>
      <c r="U71" s="35"/>
      <c r="V71" s="242" t="str">
        <f t="shared" si="12"/>
        <v>Unfilled fields to left</v>
      </c>
      <c r="X71" s="65"/>
    </row>
    <row r="72" spans="2:25" s="14" customFormat="1">
      <c r="B72" s="187" t="s">
        <v>1078</v>
      </c>
      <c r="C72" s="184" t="s">
        <v>1079</v>
      </c>
      <c r="D72" s="179" t="s">
        <v>459</v>
      </c>
      <c r="E72" s="35"/>
      <c r="F72" s="24"/>
      <c r="G72" s="65"/>
      <c r="H72" s="24"/>
      <c r="I72" s="24"/>
      <c r="J72" s="495"/>
      <c r="K72" s="35"/>
      <c r="L72" s="308"/>
      <c r="M72" s="308"/>
      <c r="N72" s="242">
        <f t="shared" si="10"/>
        <v>0</v>
      </c>
      <c r="O72" s="19"/>
      <c r="P72" s="19"/>
      <c r="Q72" s="19"/>
      <c r="R72" s="19"/>
      <c r="S72" s="484" t="s">
        <v>1080</v>
      </c>
      <c r="T72" s="477"/>
      <c r="U72" s="35"/>
      <c r="V72" s="242" t="str">
        <f t="shared" si="12"/>
        <v>Unfilled fields to left</v>
      </c>
      <c r="X72" s="65"/>
    </row>
    <row r="73" spans="2:25" s="14" customFormat="1">
      <c r="B73" s="187" t="s">
        <v>1078</v>
      </c>
      <c r="C73" s="184" t="s">
        <v>1079</v>
      </c>
      <c r="D73" s="179" t="s">
        <v>459</v>
      </c>
      <c r="E73" s="35"/>
      <c r="F73" s="24"/>
      <c r="G73" s="65"/>
      <c r="H73" s="24"/>
      <c r="I73" s="24"/>
      <c r="J73" s="495"/>
      <c r="K73" s="35"/>
      <c r="L73" s="308"/>
      <c r="M73" s="308"/>
      <c r="N73" s="242">
        <f t="shared" si="10"/>
        <v>0</v>
      </c>
      <c r="O73" s="19"/>
      <c r="P73" s="19"/>
      <c r="Q73" s="19"/>
      <c r="R73" s="19"/>
      <c r="S73" s="484" t="s">
        <v>1080</v>
      </c>
      <c r="T73" s="477"/>
      <c r="U73" s="35"/>
      <c r="V73" s="242" t="str">
        <f t="shared" si="12"/>
        <v>Unfilled fields to left</v>
      </c>
      <c r="X73" s="65"/>
    </row>
    <row r="74" spans="2:25" s="14" customFormat="1">
      <c r="B74" s="64"/>
      <c r="C74" s="15"/>
      <c r="D74" s="180"/>
      <c r="E74" s="500"/>
      <c r="F74" s="65"/>
      <c r="G74" s="65"/>
      <c r="H74" s="66"/>
      <c r="I74" s="66"/>
      <c r="J74" s="304"/>
      <c r="K74" s="308"/>
      <c r="L74" s="308"/>
      <c r="M74" s="308"/>
      <c r="N74" s="242">
        <f t="shared" si="10"/>
        <v>0</v>
      </c>
      <c r="O74" s="19"/>
      <c r="P74" s="19"/>
      <c r="Q74" s="19"/>
      <c r="R74" s="19"/>
      <c r="S74" s="302"/>
      <c r="T74" s="477"/>
      <c r="U74" s="308"/>
      <c r="V74" s="242" t="str">
        <f t="shared" si="12"/>
        <v>Unfilled fields to left</v>
      </c>
      <c r="X74" s="65"/>
    </row>
    <row r="75" spans="2:25" s="14" customFormat="1">
      <c r="B75" s="64"/>
      <c r="C75" s="15"/>
      <c r="D75" s="180"/>
      <c r="E75" s="500"/>
      <c r="F75" s="65"/>
      <c r="G75" s="65"/>
      <c r="H75" s="66"/>
      <c r="I75" s="66"/>
      <c r="J75" s="306"/>
      <c r="K75" s="308"/>
      <c r="L75" s="308"/>
      <c r="M75" s="308"/>
      <c r="N75" s="242">
        <f t="shared" si="10"/>
        <v>0</v>
      </c>
      <c r="O75" s="19"/>
      <c r="P75" s="19"/>
      <c r="Q75" s="19"/>
      <c r="R75" s="19"/>
      <c r="S75" s="302"/>
      <c r="T75" s="477"/>
      <c r="U75" s="308"/>
      <c r="V75" s="242" t="str">
        <f t="shared" si="12"/>
        <v>Unfilled fields to left</v>
      </c>
      <c r="X75" s="65"/>
    </row>
    <row r="76" spans="2:25">
      <c r="C76" s="17"/>
      <c r="D76" s="17"/>
      <c r="E76" s="140"/>
      <c r="F76" s="17"/>
      <c r="H76" s="18"/>
      <c r="I76" s="18"/>
      <c r="J76" s="40"/>
      <c r="K76" s="40"/>
      <c r="L76" s="40"/>
      <c r="M76" s="40"/>
      <c r="N76" s="40"/>
      <c r="O76" s="12"/>
      <c r="S76" s="40"/>
      <c r="T76" s="40"/>
      <c r="U76" s="40"/>
      <c r="V76" s="40"/>
      <c r="Y76" s="19"/>
    </row>
    <row r="77" spans="2:25">
      <c r="E77" s="113"/>
      <c r="I77" s="19"/>
      <c r="J77" s="113"/>
      <c r="K77" s="113"/>
      <c r="L77" s="107"/>
      <c r="M77" s="107"/>
      <c r="N77" s="107"/>
      <c r="O77" s="12"/>
      <c r="S77" s="125"/>
      <c r="T77" s="125"/>
      <c r="U77" s="38" t="s">
        <v>1114</v>
      </c>
      <c r="V77" s="153">
        <f>IF(OR(COUNTIF(Initial_questions!$E$112,"Default"), COUNTIF(Initial_questions!$E$114:$E$115,"Default")),"Default data selected",SUM(V20,V33,V45,V52,V60,V67))</f>
        <v>0</v>
      </c>
      <c r="Y77" s="19"/>
    </row>
    <row r="78" spans="2:25">
      <c r="B78" s="145" t="s">
        <v>132</v>
      </c>
      <c r="C78" s="159"/>
      <c r="D78" s="159"/>
      <c r="E78" s="499"/>
      <c r="I78" s="19"/>
      <c r="J78" s="113"/>
      <c r="K78" s="113"/>
      <c r="L78" s="107"/>
      <c r="M78" s="107"/>
      <c r="N78" s="107"/>
      <c r="O78" s="12"/>
      <c r="S78" s="113"/>
      <c r="T78" s="113"/>
      <c r="U78" s="113"/>
      <c r="V78" s="19"/>
      <c r="Y78" s="19"/>
    </row>
    <row r="79" spans="2:25">
      <c r="B79" s="16" t="s">
        <v>1086</v>
      </c>
      <c r="C79" s="15" t="s">
        <v>1135</v>
      </c>
      <c r="D79" s="15" t="s">
        <v>1088</v>
      </c>
      <c r="E79" s="501"/>
      <c r="H79" s="19"/>
      <c r="I79" s="19"/>
      <c r="J79" s="113"/>
      <c r="K79" s="113"/>
      <c r="L79" s="107"/>
      <c r="M79" s="107"/>
      <c r="N79" s="107"/>
      <c r="O79" s="12"/>
      <c r="S79" s="113"/>
      <c r="T79" s="113"/>
      <c r="U79" s="113"/>
      <c r="V79" s="19"/>
      <c r="X79" s="25"/>
      <c r="Y79" s="19"/>
    </row>
    <row r="80" spans="2:25">
      <c r="B80" s="16" t="s">
        <v>1091</v>
      </c>
      <c r="C80" s="15" t="s">
        <v>1136</v>
      </c>
      <c r="D80" s="15" t="s">
        <v>785</v>
      </c>
      <c r="E80" s="511">
        <f>Initial_questions!$E$102</f>
        <v>0</v>
      </c>
      <c r="I80" s="19"/>
      <c r="J80" s="113"/>
      <c r="K80" s="113"/>
      <c r="L80" s="107"/>
      <c r="M80" s="107"/>
      <c r="N80" s="107"/>
      <c r="O80" s="12"/>
      <c r="S80" s="113"/>
      <c r="T80" s="113"/>
      <c r="U80" s="113"/>
      <c r="V80" s="19"/>
      <c r="X80" s="25"/>
      <c r="Y80" s="19"/>
    </row>
    <row r="81" spans="2:25">
      <c r="B81" s="16"/>
      <c r="C81" s="15"/>
      <c r="D81" s="15"/>
      <c r="E81" s="511"/>
      <c r="H81" s="19"/>
      <c r="I81" s="19"/>
      <c r="J81" s="113"/>
      <c r="K81" s="113"/>
      <c r="L81" s="107"/>
      <c r="M81" s="107"/>
      <c r="N81" s="107"/>
      <c r="O81" s="12"/>
      <c r="S81" s="113"/>
      <c r="T81" s="113"/>
      <c r="U81" s="113"/>
      <c r="V81" s="19"/>
      <c r="X81" s="25"/>
      <c r="Y81" s="19"/>
    </row>
    <row r="82" spans="2:25">
      <c r="B82" s="16"/>
      <c r="C82" s="15"/>
      <c r="D82" s="15"/>
      <c r="E82" s="501"/>
      <c r="H82" s="19"/>
      <c r="I82" s="19"/>
      <c r="J82" s="113"/>
      <c r="K82" s="113"/>
      <c r="L82" s="107"/>
      <c r="M82" s="107"/>
      <c r="N82" s="107"/>
      <c r="O82" s="12"/>
      <c r="S82" s="125"/>
      <c r="T82" s="125"/>
      <c r="U82" s="125"/>
      <c r="X82" s="25"/>
    </row>
    <row r="83" spans="2:25">
      <c r="E83" s="113"/>
      <c r="H83" s="19"/>
      <c r="I83" s="19"/>
      <c r="J83" s="113"/>
      <c r="K83" s="113"/>
      <c r="L83" s="107"/>
      <c r="M83" s="107"/>
      <c r="N83" s="107"/>
      <c r="O83" s="12"/>
      <c r="S83" s="125"/>
      <c r="T83" s="125"/>
      <c r="U83" s="125"/>
    </row>
    <row r="84" spans="2:25">
      <c r="E84" s="113"/>
      <c r="J84" s="125"/>
      <c r="K84" s="125"/>
      <c r="L84" s="39"/>
      <c r="M84" s="39"/>
      <c r="S84" s="125"/>
      <c r="T84" s="125"/>
      <c r="U84" s="125"/>
    </row>
    <row r="85" spans="2:25">
      <c r="E85" s="113"/>
      <c r="J85" s="125"/>
      <c r="K85" s="125"/>
      <c r="L85" s="39"/>
      <c r="M85" s="39"/>
      <c r="S85" s="125"/>
      <c r="T85" s="125"/>
      <c r="U85" s="125"/>
    </row>
    <row r="86" spans="2:25">
      <c r="E86" s="113"/>
      <c r="J86" s="125"/>
      <c r="K86" s="125"/>
      <c r="L86" s="39"/>
      <c r="M86" s="39"/>
      <c r="S86" s="125"/>
      <c r="T86" s="125"/>
      <c r="U86" s="125"/>
    </row>
    <row r="87" spans="2:25">
      <c r="E87" s="113"/>
      <c r="J87" s="125"/>
      <c r="K87" s="125"/>
      <c r="L87" s="39"/>
      <c r="M87" s="39"/>
      <c r="S87" s="125"/>
      <c r="T87" s="125"/>
      <c r="U87" s="125"/>
    </row>
    <row r="88" spans="2:25">
      <c r="E88" s="113"/>
      <c r="J88" s="125"/>
      <c r="K88" s="125"/>
      <c r="L88" s="39"/>
      <c r="M88" s="39"/>
      <c r="S88" s="125"/>
      <c r="T88" s="125"/>
      <c r="U88" s="125"/>
    </row>
    <row r="89" spans="2:25">
      <c r="E89" s="113"/>
      <c r="J89" s="125"/>
      <c r="K89" s="125"/>
      <c r="L89" s="39"/>
      <c r="M89" s="39"/>
      <c r="S89" s="125"/>
      <c r="T89" s="125"/>
      <c r="U89" s="125"/>
    </row>
    <row r="90" spans="2:25">
      <c r="E90" s="113"/>
      <c r="J90" s="125"/>
      <c r="K90" s="125"/>
      <c r="L90" s="39"/>
      <c r="M90" s="39"/>
      <c r="S90" s="125"/>
      <c r="T90" s="125"/>
      <c r="U90" s="125"/>
    </row>
    <row r="91" spans="2:25">
      <c r="E91" s="113"/>
      <c r="J91" s="125"/>
      <c r="K91" s="125"/>
      <c r="L91" s="39"/>
      <c r="M91" s="39"/>
      <c r="S91" s="125"/>
      <c r="T91" s="125"/>
      <c r="U91" s="125"/>
    </row>
    <row r="92" spans="2:25">
      <c r="E92" s="113"/>
      <c r="J92" s="125"/>
      <c r="K92" s="125"/>
      <c r="L92" s="39"/>
      <c r="M92" s="39"/>
      <c r="S92" s="125"/>
      <c r="T92" s="125"/>
      <c r="U92" s="125"/>
    </row>
    <row r="93" spans="2:25">
      <c r="E93" s="113"/>
      <c r="J93" s="125"/>
      <c r="K93" s="125"/>
      <c r="L93" s="39"/>
      <c r="M93" s="39"/>
      <c r="S93" s="125"/>
      <c r="T93" s="125"/>
      <c r="U93" s="125"/>
    </row>
    <row r="94" spans="2:25">
      <c r="E94" s="113"/>
      <c r="J94" s="125"/>
      <c r="K94" s="125"/>
      <c r="L94" s="39"/>
      <c r="M94" s="39"/>
      <c r="S94" s="125"/>
      <c r="T94" s="125"/>
      <c r="U94" s="125"/>
    </row>
    <row r="95" spans="2:25">
      <c r="E95" s="113"/>
      <c r="J95" s="125"/>
      <c r="K95" s="125"/>
      <c r="L95" s="39"/>
      <c r="M95" s="39"/>
      <c r="S95" s="125"/>
      <c r="T95" s="125"/>
      <c r="U95" s="125"/>
    </row>
    <row r="96" spans="2:25">
      <c r="E96" s="113"/>
      <c r="J96" s="125"/>
      <c r="K96" s="125"/>
      <c r="L96" s="39"/>
      <c r="M96" s="39"/>
      <c r="S96" s="125"/>
      <c r="T96" s="125"/>
      <c r="U96" s="125"/>
    </row>
    <row r="97" spans="5:21">
      <c r="E97" s="113"/>
      <c r="J97" s="125"/>
      <c r="K97" s="125"/>
      <c r="L97" s="39"/>
      <c r="M97" s="39"/>
      <c r="S97" s="125"/>
      <c r="T97" s="125"/>
      <c r="U97" s="125"/>
    </row>
    <row r="98" spans="5:21">
      <c r="E98" s="113"/>
      <c r="J98" s="125"/>
      <c r="K98" s="125"/>
      <c r="L98" s="39"/>
      <c r="M98" s="39"/>
      <c r="S98" s="125"/>
      <c r="T98" s="125"/>
      <c r="U98" s="125"/>
    </row>
    <row r="99" spans="5:21">
      <c r="E99" s="113"/>
      <c r="J99" s="125"/>
      <c r="K99" s="125"/>
      <c r="L99" s="39"/>
      <c r="M99" s="39"/>
      <c r="S99" s="125"/>
      <c r="T99" s="125"/>
      <c r="U99" s="125"/>
    </row>
    <row r="100" spans="5:21">
      <c r="E100" s="113"/>
      <c r="J100" s="125"/>
      <c r="K100" s="125"/>
      <c r="L100" s="39"/>
      <c r="M100" s="39"/>
      <c r="S100" s="125"/>
      <c r="T100" s="125"/>
      <c r="U100" s="125"/>
    </row>
    <row r="101" spans="5:21">
      <c r="E101" s="113"/>
      <c r="J101" s="125"/>
      <c r="K101" s="125"/>
      <c r="L101" s="39"/>
      <c r="M101" s="39"/>
      <c r="S101" s="125"/>
      <c r="T101" s="125"/>
      <c r="U101" s="125"/>
    </row>
    <row r="102" spans="5:21">
      <c r="E102" s="113"/>
      <c r="J102" s="125"/>
      <c r="K102" s="125"/>
      <c r="L102" s="39"/>
      <c r="M102" s="39"/>
      <c r="S102" s="125"/>
      <c r="T102" s="125"/>
      <c r="U102" s="125"/>
    </row>
    <row r="103" spans="5:21">
      <c r="E103" s="113"/>
      <c r="J103" s="125"/>
      <c r="K103" s="125"/>
      <c r="L103" s="39"/>
      <c r="M103" s="39"/>
      <c r="S103" s="125"/>
      <c r="T103" s="125"/>
      <c r="U103" s="125"/>
    </row>
    <row r="104" spans="5:21">
      <c r="E104" s="113"/>
      <c r="J104" s="125"/>
      <c r="K104" s="125"/>
      <c r="L104" s="39"/>
      <c r="M104" s="39"/>
      <c r="S104" s="125"/>
      <c r="T104" s="125"/>
      <c r="U104" s="125"/>
    </row>
    <row r="105" spans="5:21">
      <c r="E105" s="113"/>
      <c r="J105" s="125"/>
      <c r="K105" s="125"/>
      <c r="L105" s="39"/>
      <c r="M105" s="39"/>
      <c r="S105" s="125"/>
      <c r="T105" s="125"/>
      <c r="U105" s="125"/>
    </row>
    <row r="106" spans="5:21">
      <c r="E106" s="113"/>
      <c r="J106" s="125"/>
      <c r="K106" s="125"/>
      <c r="L106" s="39"/>
      <c r="M106" s="39"/>
      <c r="S106" s="125"/>
      <c r="T106" s="125"/>
      <c r="U106" s="125"/>
    </row>
    <row r="107" spans="5:21">
      <c r="E107" s="113"/>
      <c r="J107" s="125"/>
      <c r="K107" s="125"/>
      <c r="L107" s="39"/>
      <c r="M107" s="39"/>
      <c r="S107" s="125"/>
      <c r="T107" s="125"/>
      <c r="U107" s="125"/>
    </row>
    <row r="108" spans="5:21">
      <c r="E108" s="113"/>
      <c r="J108" s="125"/>
      <c r="K108" s="125"/>
      <c r="L108" s="39"/>
      <c r="M108" s="39"/>
      <c r="S108" s="125"/>
      <c r="T108" s="125"/>
      <c r="U108" s="125"/>
    </row>
    <row r="109" spans="5:21">
      <c r="E109" s="113"/>
      <c r="J109" s="125"/>
      <c r="K109" s="125"/>
      <c r="L109" s="39"/>
      <c r="M109" s="39"/>
      <c r="S109" s="125"/>
      <c r="T109" s="125"/>
      <c r="U109" s="125"/>
    </row>
    <row r="110" spans="5:21">
      <c r="E110" s="113"/>
      <c r="J110" s="125"/>
      <c r="K110" s="125"/>
      <c r="L110" s="39"/>
      <c r="M110" s="39"/>
      <c r="S110" s="125"/>
      <c r="T110" s="125"/>
      <c r="U110" s="125"/>
    </row>
    <row r="111" spans="5:21">
      <c r="E111" s="113"/>
      <c r="J111" s="125"/>
      <c r="K111" s="125"/>
      <c r="L111" s="39"/>
      <c r="M111" s="39"/>
      <c r="S111" s="125"/>
      <c r="T111" s="125"/>
      <c r="U111" s="125"/>
    </row>
    <row r="112" spans="5:21">
      <c r="E112" s="113"/>
      <c r="J112" s="125"/>
      <c r="K112" s="125"/>
      <c r="L112" s="39"/>
      <c r="M112" s="39"/>
      <c r="S112" s="125"/>
      <c r="T112" s="125"/>
      <c r="U112" s="125"/>
    </row>
    <row r="113" spans="5:21">
      <c r="E113" s="113"/>
      <c r="J113" s="125"/>
      <c r="K113" s="125"/>
      <c r="L113" s="39"/>
      <c r="M113" s="39"/>
      <c r="S113" s="125"/>
      <c r="T113" s="125"/>
      <c r="U113" s="125"/>
    </row>
    <row r="114" spans="5:21">
      <c r="E114" s="113"/>
      <c r="J114" s="125"/>
      <c r="K114" s="125"/>
      <c r="L114" s="39"/>
      <c r="M114" s="39"/>
      <c r="S114" s="125"/>
      <c r="T114" s="125"/>
      <c r="U114" s="125"/>
    </row>
    <row r="115" spans="5:21">
      <c r="E115" s="113"/>
      <c r="J115" s="125"/>
      <c r="K115" s="125"/>
      <c r="L115" s="39"/>
      <c r="M115" s="39"/>
      <c r="S115" s="125"/>
      <c r="T115" s="125"/>
      <c r="U115" s="125"/>
    </row>
    <row r="116" spans="5:21">
      <c r="E116" s="113"/>
      <c r="J116" s="125"/>
      <c r="K116" s="125"/>
      <c r="L116" s="39"/>
      <c r="M116" s="39"/>
      <c r="S116" s="125"/>
      <c r="T116" s="125"/>
      <c r="U116" s="125"/>
    </row>
    <row r="117" spans="5:21">
      <c r="E117" s="113"/>
      <c r="J117" s="125"/>
      <c r="K117" s="125"/>
      <c r="L117" s="39"/>
      <c r="M117" s="39"/>
      <c r="S117" s="125"/>
      <c r="T117" s="125"/>
      <c r="U117" s="125"/>
    </row>
    <row r="118" spans="5:21">
      <c r="E118" s="113"/>
      <c r="J118" s="125"/>
      <c r="K118" s="125"/>
      <c r="L118" s="39"/>
      <c r="M118" s="39"/>
      <c r="S118" s="125"/>
      <c r="T118" s="125"/>
      <c r="U118" s="125"/>
    </row>
    <row r="119" spans="5:21">
      <c r="E119" s="113"/>
      <c r="J119" s="125"/>
      <c r="K119" s="125"/>
      <c r="L119" s="39"/>
      <c r="M119" s="39"/>
      <c r="S119" s="125"/>
      <c r="T119" s="125"/>
      <c r="U119" s="125"/>
    </row>
    <row r="120" spans="5:21">
      <c r="E120" s="113"/>
      <c r="J120" s="125"/>
      <c r="K120" s="125"/>
      <c r="L120" s="39"/>
      <c r="M120" s="39"/>
      <c r="S120" s="125"/>
      <c r="T120" s="125"/>
      <c r="U120" s="125"/>
    </row>
    <row r="121" spans="5:21">
      <c r="E121" s="113"/>
      <c r="J121" s="125"/>
      <c r="K121" s="125"/>
      <c r="L121" s="39"/>
      <c r="M121" s="39"/>
      <c r="S121" s="125"/>
      <c r="T121" s="125"/>
      <c r="U121" s="125"/>
    </row>
    <row r="122" spans="5:21">
      <c r="E122" s="113"/>
      <c r="J122" s="125"/>
      <c r="K122" s="125"/>
      <c r="L122" s="39"/>
      <c r="M122" s="39"/>
      <c r="S122" s="125"/>
      <c r="T122" s="125"/>
      <c r="U122" s="125"/>
    </row>
    <row r="123" spans="5:21">
      <c r="E123" s="113"/>
      <c r="S123" s="125"/>
      <c r="T123" s="125"/>
      <c r="U123" s="125"/>
    </row>
    <row r="124" spans="5:21">
      <c r="E124" s="113"/>
      <c r="S124" s="125"/>
      <c r="T124" s="125"/>
      <c r="U124" s="125"/>
    </row>
    <row r="125" spans="5:21">
      <c r="E125" s="113"/>
      <c r="S125" s="125"/>
      <c r="T125" s="125"/>
      <c r="U125" s="125"/>
    </row>
    <row r="126" spans="5:21">
      <c r="E126" s="113"/>
      <c r="S126" s="125"/>
      <c r="T126" s="125"/>
      <c r="U126" s="125"/>
    </row>
    <row r="127" spans="5:21">
      <c r="E127" s="113"/>
      <c r="S127" s="125"/>
      <c r="T127" s="125"/>
      <c r="U127" s="125"/>
    </row>
    <row r="128" spans="5:21">
      <c r="E128" s="113"/>
      <c r="S128" s="125"/>
      <c r="T128" s="125"/>
      <c r="U128" s="125"/>
    </row>
    <row r="129" spans="5:21">
      <c r="E129" s="113"/>
      <c r="S129" s="125"/>
      <c r="T129" s="125"/>
      <c r="U129" s="125"/>
    </row>
    <row r="130" spans="5:21">
      <c r="E130" s="113"/>
      <c r="S130" s="125"/>
      <c r="T130" s="125"/>
      <c r="U130" s="125"/>
    </row>
    <row r="131" spans="5:21">
      <c r="E131" s="113"/>
      <c r="S131" s="125"/>
      <c r="T131" s="125"/>
      <c r="U131" s="125"/>
    </row>
    <row r="132" spans="5:21">
      <c r="E132" s="113"/>
      <c r="S132" s="125"/>
      <c r="T132" s="125"/>
      <c r="U132" s="125"/>
    </row>
    <row r="133" spans="5:21">
      <c r="E133" s="113"/>
      <c r="S133" s="125"/>
      <c r="T133" s="125"/>
      <c r="U133" s="125"/>
    </row>
    <row r="134" spans="5:21">
      <c r="E134" s="113"/>
      <c r="S134" s="125"/>
      <c r="T134" s="125"/>
      <c r="U134" s="125"/>
    </row>
    <row r="135" spans="5:21">
      <c r="E135" s="113"/>
      <c r="S135" s="125"/>
      <c r="T135" s="125"/>
      <c r="U135" s="125"/>
    </row>
    <row r="136" spans="5:21">
      <c r="E136" s="113"/>
      <c r="S136" s="125"/>
      <c r="T136" s="125"/>
      <c r="U136" s="125"/>
    </row>
    <row r="137" spans="5:21">
      <c r="E137" s="113"/>
      <c r="S137" s="125"/>
      <c r="T137" s="125"/>
      <c r="U137" s="125"/>
    </row>
    <row r="138" spans="5:21">
      <c r="E138" s="113"/>
      <c r="S138" s="125"/>
      <c r="T138" s="125"/>
      <c r="U138" s="125"/>
    </row>
    <row r="139" spans="5:21">
      <c r="E139" s="113"/>
      <c r="S139" s="125"/>
      <c r="T139" s="125"/>
      <c r="U139" s="125"/>
    </row>
    <row r="140" spans="5:21">
      <c r="E140" s="113"/>
      <c r="S140" s="125"/>
      <c r="T140" s="125"/>
      <c r="U140" s="125"/>
    </row>
    <row r="141" spans="5:21">
      <c r="E141" s="113"/>
      <c r="S141" s="125"/>
      <c r="T141" s="125"/>
      <c r="U141" s="125"/>
    </row>
    <row r="142" spans="5:21">
      <c r="E142" s="113"/>
      <c r="S142" s="125"/>
      <c r="T142" s="125"/>
      <c r="U142" s="125"/>
    </row>
    <row r="143" spans="5:21">
      <c r="E143" s="113"/>
      <c r="S143" s="125"/>
      <c r="T143" s="125"/>
      <c r="U143" s="125"/>
    </row>
    <row r="144" spans="5:21">
      <c r="E144" s="113"/>
      <c r="S144" s="125"/>
      <c r="T144" s="125"/>
      <c r="U144" s="125"/>
    </row>
    <row r="145" spans="5:21">
      <c r="E145" s="113"/>
      <c r="S145" s="125"/>
      <c r="T145" s="125"/>
      <c r="U145" s="125"/>
    </row>
    <row r="146" spans="5:21">
      <c r="E146" s="113"/>
      <c r="S146" s="125"/>
      <c r="T146" s="125"/>
      <c r="U146" s="125"/>
    </row>
    <row r="147" spans="5:21">
      <c r="E147" s="113"/>
      <c r="S147" s="125"/>
      <c r="T147" s="125"/>
      <c r="U147" s="125"/>
    </row>
    <row r="148" spans="5:21">
      <c r="E148" s="256"/>
      <c r="S148" s="125"/>
      <c r="T148" s="125"/>
      <c r="U148" s="125"/>
    </row>
    <row r="149" spans="5:21">
      <c r="E149" s="256"/>
      <c r="S149" s="125"/>
      <c r="T149" s="125"/>
      <c r="U149" s="125"/>
    </row>
    <row r="150" spans="5:21">
      <c r="E150" s="256"/>
      <c r="S150" s="125"/>
      <c r="T150" s="125"/>
      <c r="U150" s="125"/>
    </row>
    <row r="151" spans="5:21">
      <c r="E151" s="256"/>
      <c r="S151" s="125"/>
      <c r="T151" s="125"/>
      <c r="U151" s="125"/>
    </row>
    <row r="152" spans="5:21">
      <c r="E152" s="256"/>
      <c r="S152" s="125"/>
      <c r="T152" s="125"/>
      <c r="U152" s="125"/>
    </row>
    <row r="153" spans="5:21">
      <c r="E153" s="256"/>
      <c r="S153" s="125"/>
      <c r="T153" s="125"/>
      <c r="U153" s="125"/>
    </row>
    <row r="154" spans="5:21">
      <c r="E154" s="256"/>
      <c r="S154" s="125"/>
      <c r="T154" s="125"/>
      <c r="U154" s="125"/>
    </row>
    <row r="155" spans="5:21">
      <c r="E155" s="256"/>
      <c r="S155" s="125"/>
      <c r="T155" s="125"/>
      <c r="U155" s="125"/>
    </row>
    <row r="156" spans="5:21">
      <c r="E156" s="256"/>
      <c r="S156" s="125"/>
      <c r="T156" s="125"/>
      <c r="U156" s="125"/>
    </row>
    <row r="157" spans="5:21">
      <c r="E157" s="256"/>
      <c r="S157" s="125"/>
      <c r="T157" s="125"/>
      <c r="U157" s="125"/>
    </row>
    <row r="158" spans="5:21">
      <c r="E158" s="256"/>
      <c r="S158" s="125"/>
      <c r="T158" s="125"/>
      <c r="U158" s="125"/>
    </row>
    <row r="159" spans="5:21">
      <c r="E159" s="256"/>
      <c r="S159" s="125"/>
      <c r="T159" s="125"/>
      <c r="U159" s="125"/>
    </row>
    <row r="160" spans="5:21">
      <c r="E160" s="256"/>
      <c r="S160" s="125"/>
      <c r="T160" s="125"/>
      <c r="U160" s="125"/>
    </row>
    <row r="161" spans="5:21">
      <c r="E161" s="256"/>
      <c r="S161" s="125"/>
      <c r="T161" s="125"/>
      <c r="U161" s="125"/>
    </row>
    <row r="162" spans="5:21">
      <c r="E162" s="256"/>
      <c r="S162" s="125"/>
      <c r="T162" s="125"/>
      <c r="U162" s="125"/>
    </row>
    <row r="163" spans="5:21">
      <c r="E163" s="256"/>
      <c r="S163" s="125"/>
      <c r="T163" s="125"/>
      <c r="U163" s="125"/>
    </row>
    <row r="164" spans="5:21">
      <c r="E164" s="256"/>
      <c r="S164" s="125"/>
      <c r="T164" s="125"/>
      <c r="U164" s="125"/>
    </row>
    <row r="165" spans="5:21">
      <c r="E165" s="256"/>
      <c r="S165" s="125"/>
      <c r="T165" s="125"/>
      <c r="U165" s="125"/>
    </row>
    <row r="166" spans="5:21">
      <c r="E166" s="256"/>
      <c r="S166" s="125"/>
      <c r="T166" s="125"/>
      <c r="U166" s="125"/>
    </row>
    <row r="167" spans="5:21">
      <c r="E167" s="256"/>
      <c r="S167" s="125"/>
      <c r="T167" s="125"/>
      <c r="U167" s="125"/>
    </row>
    <row r="168" spans="5:21">
      <c r="E168" s="256"/>
      <c r="S168" s="125"/>
      <c r="T168" s="125"/>
      <c r="U168" s="125"/>
    </row>
    <row r="169" spans="5:21">
      <c r="E169" s="256"/>
      <c r="S169" s="125"/>
      <c r="T169" s="125"/>
      <c r="U169" s="125"/>
    </row>
    <row r="170" spans="5:21">
      <c r="E170" s="256"/>
      <c r="S170" s="125"/>
      <c r="T170" s="125"/>
      <c r="U170" s="125"/>
    </row>
    <row r="171" spans="5:21">
      <c r="E171" s="256"/>
      <c r="S171" s="125"/>
      <c r="T171" s="125"/>
      <c r="U171" s="125"/>
    </row>
    <row r="172" spans="5:21">
      <c r="E172" s="256"/>
      <c r="S172" s="125"/>
      <c r="T172" s="125"/>
      <c r="U172" s="125"/>
    </row>
    <row r="173" spans="5:21">
      <c r="E173" s="256"/>
      <c r="S173" s="125"/>
      <c r="T173" s="125"/>
      <c r="U173" s="125"/>
    </row>
    <row r="174" spans="5:21">
      <c r="E174" s="256"/>
      <c r="S174" s="125"/>
      <c r="T174" s="125"/>
      <c r="U174" s="125"/>
    </row>
    <row r="175" spans="5:21">
      <c r="E175" s="256"/>
      <c r="S175" s="125"/>
      <c r="T175" s="125"/>
      <c r="U175" s="125"/>
    </row>
    <row r="176" spans="5:21">
      <c r="E176" s="256"/>
      <c r="S176" s="125"/>
      <c r="T176" s="125"/>
      <c r="U176" s="125"/>
    </row>
    <row r="177" spans="5:21">
      <c r="E177" s="256"/>
      <c r="S177" s="125"/>
      <c r="T177" s="125"/>
      <c r="U177" s="125"/>
    </row>
    <row r="178" spans="5:21">
      <c r="E178" s="256"/>
      <c r="S178" s="125"/>
      <c r="T178" s="125"/>
      <c r="U178" s="125"/>
    </row>
    <row r="179" spans="5:21">
      <c r="E179" s="256"/>
      <c r="S179" s="125"/>
      <c r="T179" s="125"/>
      <c r="U179" s="125"/>
    </row>
    <row r="180" spans="5:21">
      <c r="E180" s="256"/>
      <c r="S180" s="125"/>
      <c r="T180" s="125"/>
      <c r="U180" s="125"/>
    </row>
    <row r="181" spans="5:21">
      <c r="E181" s="256"/>
      <c r="S181" s="125"/>
      <c r="T181" s="125"/>
      <c r="U181" s="125"/>
    </row>
    <row r="182" spans="5:21">
      <c r="E182" s="256"/>
      <c r="S182" s="125"/>
      <c r="T182" s="125"/>
      <c r="U182" s="125"/>
    </row>
    <row r="183" spans="5:21">
      <c r="E183" s="256"/>
      <c r="S183" s="125"/>
      <c r="T183" s="125"/>
      <c r="U183" s="125"/>
    </row>
    <row r="184" spans="5:21">
      <c r="E184" s="256"/>
      <c r="S184" s="125"/>
      <c r="T184" s="125"/>
      <c r="U184" s="125"/>
    </row>
    <row r="185" spans="5:21">
      <c r="E185" s="256"/>
      <c r="S185" s="125"/>
      <c r="T185" s="125"/>
      <c r="U185" s="125"/>
    </row>
    <row r="186" spans="5:21">
      <c r="E186" s="256"/>
      <c r="S186" s="125"/>
      <c r="T186" s="125"/>
      <c r="U186" s="125"/>
    </row>
    <row r="187" spans="5:21">
      <c r="E187" s="256"/>
      <c r="S187" s="125"/>
      <c r="T187" s="125"/>
      <c r="U187" s="125"/>
    </row>
    <row r="188" spans="5:21">
      <c r="E188" s="256"/>
      <c r="S188" s="125"/>
      <c r="T188" s="125"/>
      <c r="U188" s="125"/>
    </row>
    <row r="189" spans="5:21">
      <c r="E189" s="256"/>
      <c r="S189" s="125"/>
      <c r="T189" s="125"/>
      <c r="U189" s="125"/>
    </row>
    <row r="190" spans="5:21">
      <c r="E190" s="256"/>
    </row>
    <row r="191" spans="5:21">
      <c r="E191" s="256"/>
    </row>
    <row r="192" spans="5:21">
      <c r="E192" s="256"/>
    </row>
    <row r="193" spans="5:5">
      <c r="E193" s="256"/>
    </row>
    <row r="194" spans="5:5">
      <c r="E194" s="256"/>
    </row>
    <row r="195" spans="5:5">
      <c r="E195" s="256"/>
    </row>
    <row r="196" spans="5:5">
      <c r="E196" s="256"/>
    </row>
    <row r="197" spans="5:5">
      <c r="E197" s="256"/>
    </row>
    <row r="198" spans="5:5">
      <c r="E198" s="256"/>
    </row>
    <row r="199" spans="5:5">
      <c r="E199" s="256"/>
    </row>
    <row r="200" spans="5:5">
      <c r="E200" s="256"/>
    </row>
    <row r="201" spans="5:5">
      <c r="E201" s="256"/>
    </row>
    <row r="202" spans="5:5">
      <c r="E202" s="256"/>
    </row>
    <row r="203" spans="5:5">
      <c r="E203" s="256"/>
    </row>
    <row r="204" spans="5:5">
      <c r="E204" s="256"/>
    </row>
    <row r="205" spans="5:5">
      <c r="E205" s="256"/>
    </row>
    <row r="206" spans="5:5">
      <c r="E206" s="256"/>
    </row>
    <row r="207" spans="5:5">
      <c r="E207" s="256"/>
    </row>
    <row r="208" spans="5:5">
      <c r="E208" s="256"/>
    </row>
    <row r="209" spans="5:5">
      <c r="E209" s="256"/>
    </row>
    <row r="210" spans="5:5">
      <c r="E210" s="256"/>
    </row>
    <row r="211" spans="5:5">
      <c r="E211" s="256"/>
    </row>
    <row r="212" spans="5:5">
      <c r="E212" s="256"/>
    </row>
    <row r="213" spans="5:5">
      <c r="E213" s="256"/>
    </row>
    <row r="214" spans="5:5">
      <c r="E214" s="256"/>
    </row>
    <row r="215" spans="5:5">
      <c r="E215" s="256"/>
    </row>
    <row r="216" spans="5:5">
      <c r="E216" s="256"/>
    </row>
    <row r="217" spans="5:5">
      <c r="E217" s="256"/>
    </row>
    <row r="218" spans="5:5">
      <c r="E218" s="256"/>
    </row>
    <row r="219" spans="5:5">
      <c r="E219" s="256"/>
    </row>
    <row r="220" spans="5:5">
      <c r="E220" s="256"/>
    </row>
    <row r="221" spans="5:5">
      <c r="E221" s="256"/>
    </row>
    <row r="222" spans="5:5">
      <c r="E222" s="256"/>
    </row>
    <row r="223" spans="5:5">
      <c r="E223" s="256"/>
    </row>
    <row r="224" spans="5:5">
      <c r="E224" s="256"/>
    </row>
    <row r="225" spans="5:5">
      <c r="E225" s="256"/>
    </row>
    <row r="226" spans="5:5">
      <c r="E226" s="256"/>
    </row>
    <row r="227" spans="5:5">
      <c r="E227" s="256"/>
    </row>
    <row r="228" spans="5:5">
      <c r="E228" s="256"/>
    </row>
    <row r="229" spans="5:5">
      <c r="E229" s="256"/>
    </row>
    <row r="230" spans="5:5">
      <c r="E230" s="256"/>
    </row>
    <row r="231" spans="5:5">
      <c r="E231" s="256"/>
    </row>
    <row r="232" spans="5:5">
      <c r="E232" s="256"/>
    </row>
    <row r="233" spans="5:5">
      <c r="E233" s="256"/>
    </row>
    <row r="234" spans="5:5">
      <c r="E234" s="256"/>
    </row>
    <row r="235" spans="5:5">
      <c r="E235" s="256"/>
    </row>
    <row r="236" spans="5:5">
      <c r="E236" s="256"/>
    </row>
    <row r="237" spans="5:5">
      <c r="E237" s="256"/>
    </row>
    <row r="238" spans="5:5">
      <c r="E238" s="256"/>
    </row>
    <row r="239" spans="5:5">
      <c r="E239" s="256"/>
    </row>
    <row r="240" spans="5:5">
      <c r="E240" s="256"/>
    </row>
    <row r="241" spans="5:5">
      <c r="E241" s="256"/>
    </row>
    <row r="242" spans="5:5">
      <c r="E242" s="256"/>
    </row>
    <row r="243" spans="5:5">
      <c r="E243" s="256"/>
    </row>
    <row r="244" spans="5:5">
      <c r="E244" s="256"/>
    </row>
    <row r="245" spans="5:5">
      <c r="E245" s="256"/>
    </row>
    <row r="246" spans="5:5">
      <c r="E246" s="256"/>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cale="70" state="hidden">
      <selection activeCell="C2" sqref="C2:E2"/>
      <pageMargins left="0" right="0" top="0" bottom="0" header="0" footer="0"/>
      <pageSetup paperSize="9" orientation="portrait" r:id="rId3"/>
    </customSheetView>
    <customSheetView guid="{3F0A4FBA-5323-448F-A023-B3E14C54064C}" showGridLines="0" state="hidden">
      <pane xSplit="3" ySplit="5" topLeftCell="R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R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46:D50 D34:D43 D53:D58 D61:D65 D20:D30 D68:D75 D8 D10:D17" xr:uid="{C764CFA3-01E4-4CE3-A504-4F5FD23DA169}">
      <formula1>Flow_units</formula1>
    </dataValidation>
    <dataValidation type="custom" allowBlank="1" showInputMessage="1" showErrorMessage="1" error="Please do not change this formula" prompt="Please do not change this formula" sqref="W4 O6:Q1048576 V1:V4 V6:V1048576 R6:R8 R14:R1048576 N1:N1048576 O1:R4 S5:V5" xr:uid="{F2EB5756-7452-4348-BF54-2C566F0C4010}">
      <formula1>"Please do not change this formula"</formula1>
    </dataValidation>
    <dataValidation type="custom" allowBlank="1" showInputMessage="1" showErrorMessage="1" error="Please do not change" sqref="R9:R13" xr:uid="{C5A6E5A9-F22D-489F-8BAA-3EAFBD6B3935}">
      <formula1>"Please do not change"</formula1>
    </dataValidation>
    <dataValidation type="custom" allowBlank="1" showInputMessage="1" showErrorMessage="1" error="Please do not change this formula" sqref="O5:R5" xr:uid="{E5627CCA-A4E0-4809-B047-638E56AF1168}">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59 S68:T76" xr:uid="{03502BCC-7A0E-425B-9484-599E6E0EC029}">
      <formula1>0</formula1>
    </dataValidation>
  </dataValidations>
  <hyperlinks>
    <hyperlink ref="I2:J2" location="GHG_FOSSIL_NG_REFORM_CCS!A1" display="Go to the summary tab of this pathway" xr:uid="{9C4AD1F2-51C6-40E7-972E-EDD2E5046E99}"/>
    <hyperlink ref="I2:K2" location="GHG_NG_REFORM_CCS!A1" display="Go to the summary GHG worksheet" xr:uid="{1DE96151-43F0-4D55-8DE5-93FA1BE297CD}"/>
  </hyperlinks>
  <pageMargins left="0" right="0" top="0" bottom="0" header="0" footer="0"/>
  <pageSetup paperSize="9" orientation="portrait" r:id="rId10"/>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47" id="{00000000-000E-0000-1A00-00002E000000}">
            <xm:f>AND(Path&lt;&gt;Units!$B$126,Path&lt;&gt;Units!$B$127,Path&lt;&gt;Units!$B$128, Master_Switch="On")</xm:f>
            <x14:dxf>
              <font>
                <color theme="0"/>
              </font>
              <fill>
                <patternFill>
                  <bgColor theme="0"/>
                </patternFill>
              </fill>
              <border>
                <left/>
                <right/>
                <top/>
                <bottom/>
                <vertical/>
                <horizontal/>
              </border>
            </x14:dxf>
          </x14:cfRule>
          <xm:sqref>A2:H2 L2:XFD2 A3:XFD200</xm:sqref>
        </x14:conditionalFormatting>
        <x14:conditionalFormatting xmlns:xm="http://schemas.microsoft.com/office/excel/2006/main">
          <x14:cfRule type="expression" priority="48" id="{B712EE8E-3E59-4F20-A406-EB1AE6CB33AF}">
            <xm:f>AND(GHG_NG_REFORM_CCS!$D$7="Default",Master_Switch="On")</xm:f>
            <x14:dxf>
              <font>
                <color theme="0"/>
              </font>
              <fill>
                <patternFill>
                  <bgColor theme="0"/>
                </patternFill>
              </fill>
              <border>
                <left/>
                <right/>
                <top/>
                <bottom/>
              </border>
            </x14:dxf>
          </x14:cfRule>
          <xm:sqref>A21:XFD30</xm:sqref>
        </x14:conditionalFormatting>
        <x14:conditionalFormatting xmlns:xm="http://schemas.microsoft.com/office/excel/2006/main">
          <x14:cfRule type="expression" priority="29" id="{E7C890C1-FE50-423F-80C7-2FE6CEFF4395}">
            <xm:f>AND(GHG_NG_REFORM_CCS!$D$8="Default",Master_Switch="On")</xm:f>
            <x14:dxf>
              <font>
                <color theme="0"/>
              </font>
              <fill>
                <patternFill>
                  <bgColor theme="0"/>
                </patternFill>
              </fill>
              <border>
                <left/>
                <right/>
                <top/>
                <bottom/>
                <vertical/>
                <horizontal/>
              </border>
            </x14:dxf>
          </x14:cfRule>
          <xm:sqref>A34:XFD43</xm:sqref>
        </x14:conditionalFormatting>
        <x14:conditionalFormatting xmlns:xm="http://schemas.microsoft.com/office/excel/2006/main">
          <x14:cfRule type="expression" priority="1" id="{DFCFED67-DCC0-4216-81A7-B945E23D7E8F}">
            <xm:f>AND(Path&lt;&gt;Units!$B$126,Path&lt;&gt;Units!$B$127,Path&lt;&gt;Units!$B$128, Path&lt;&gt;Units!$B$129,Master_Switch="On")</xm:f>
            <x14:dxf>
              <font>
                <color theme="0"/>
              </font>
              <fill>
                <patternFill>
                  <bgColor theme="0"/>
                </patternFill>
              </fill>
              <border>
                <left/>
                <right/>
                <top/>
                <bottom/>
                <vertical/>
                <horizontal/>
              </border>
            </x14:dxf>
          </x14:cfRule>
          <xm:sqref>I2:K2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EB010C9-2539-4F37-B3CB-8EA46BB97D03}">
          <x14:formula1>
            <xm:f>Units!$Z$120</xm:f>
          </x14:formula1>
          <xm:sqref>D9</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85077-07B1-4F7A-BF5E-EDD4DAE46358}">
  <sheetPr codeName="Sheet54">
    <tabColor theme="7" tint="-0.249977111117893"/>
  </sheetPr>
  <dimension ref="A1:AB262"/>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9" customWidth="1"/>
    <col min="2" max="2" width="23.26953125" style="19" customWidth="1"/>
    <col min="3" max="3" width="37.1796875" style="19" customWidth="1"/>
    <col min="4" max="4" width="13.26953125" style="19" customWidth="1"/>
    <col min="5" max="5" width="16.453125" style="459" customWidth="1"/>
    <col min="6" max="6" width="22" style="19" customWidth="1"/>
    <col min="7" max="7" width="18.7265625" style="19" customWidth="1"/>
    <col min="8" max="8" width="13.453125" style="126" customWidth="1"/>
    <col min="9" max="9" width="14.1796875" style="126" customWidth="1"/>
    <col min="10" max="10" width="14" style="126" customWidth="1"/>
    <col min="11" max="11" width="13.81640625" style="126" customWidth="1"/>
    <col min="12" max="13" width="13.81640625" style="13" customWidth="1"/>
    <col min="14" max="14" width="14.26953125" style="39" customWidth="1"/>
    <col min="15" max="15" width="18" customWidth="1"/>
    <col min="16" max="16" width="10.1796875" style="12" customWidth="1"/>
    <col min="17" max="17" width="18.81640625" style="12" customWidth="1"/>
    <col min="18" max="18" width="17.54296875" style="12" customWidth="1"/>
    <col min="19" max="20" width="20.7265625" style="126" customWidth="1"/>
    <col min="21" max="21" width="22.7265625" style="126" customWidth="1"/>
    <col min="22" max="22" width="20.26953125" style="125" customWidth="1"/>
    <col min="23" max="23" width="16.54296875" style="19" customWidth="1"/>
    <col min="24" max="24" width="26" style="19" customWidth="1"/>
    <col min="26" max="16384" width="7.1796875" style="19"/>
  </cols>
  <sheetData>
    <row r="1" spans="1:28" ht="31.9" customHeight="1">
      <c r="A1" s="80" t="str">
        <f>IF(AND(Path&lt;&gt;Units!$B$129,Master_Switch="On"),"User should not fill in this sheet, but switch to other non-blank GHG worksheets","")</f>
        <v>User should not fill in this sheet, but switch to other non-blank GHG worksheets</v>
      </c>
      <c r="E1" s="256"/>
    </row>
    <row r="2" spans="1:28" ht="20.5" customHeight="1">
      <c r="B2" s="80"/>
      <c r="E2" s="256"/>
      <c r="I2" s="733" t="s">
        <v>983</v>
      </c>
      <c r="J2" s="731"/>
      <c r="K2" s="732"/>
      <c r="L2" s="39"/>
      <c r="M2" s="39"/>
    </row>
    <row r="3" spans="1:28" ht="15" customHeight="1">
      <c r="E3" s="256"/>
    </row>
    <row r="4" spans="1:28" ht="15.65" customHeight="1" thickBot="1">
      <c r="B4" s="3"/>
      <c r="C4" s="3"/>
      <c r="D4" s="3"/>
      <c r="E4" s="455"/>
      <c r="F4" s="3"/>
      <c r="G4" s="3"/>
      <c r="H4" s="1"/>
      <c r="I4" s="1"/>
      <c r="J4" s="1"/>
      <c r="K4" s="1"/>
      <c r="L4" s="1"/>
      <c r="M4" s="1"/>
      <c r="N4" s="37"/>
      <c r="O4" s="1"/>
      <c r="P4" s="1"/>
      <c r="Q4" s="1"/>
      <c r="R4" s="3"/>
      <c r="S4" s="1"/>
      <c r="T4" s="1"/>
      <c r="U4" s="1"/>
      <c r="V4" s="37"/>
      <c r="W4" s="37"/>
      <c r="X4" s="37"/>
    </row>
    <row r="5" spans="1:28"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8" ht="15" thickTop="1">
      <c r="O6" s="12"/>
      <c r="Q6" s="39"/>
    </row>
    <row r="7" spans="1:28">
      <c r="B7" s="145" t="s">
        <v>1003</v>
      </c>
      <c r="C7" s="145"/>
      <c r="D7" s="145"/>
      <c r="E7" s="324"/>
      <c r="F7" s="145"/>
      <c r="G7" s="145"/>
      <c r="H7" s="145"/>
      <c r="I7" s="145"/>
      <c r="J7" s="145"/>
      <c r="K7" s="324"/>
      <c r="L7" s="145"/>
      <c r="M7" s="145"/>
      <c r="N7" s="301"/>
      <c r="O7" s="12"/>
      <c r="Q7" s="556"/>
      <c r="S7" s="18"/>
      <c r="T7" s="18"/>
      <c r="U7" s="18"/>
      <c r="V7" s="40"/>
      <c r="Y7" s="19"/>
    </row>
    <row r="8" spans="1:28">
      <c r="B8" s="16" t="s">
        <v>1004</v>
      </c>
      <c r="C8" s="184" t="s">
        <v>1105</v>
      </c>
      <c r="D8" s="179" t="s">
        <v>459</v>
      </c>
      <c r="E8" s="35"/>
      <c r="F8" s="24"/>
      <c r="G8" s="24"/>
      <c r="H8" s="24"/>
      <c r="I8" s="24"/>
      <c r="J8" s="35"/>
      <c r="K8" s="35"/>
      <c r="L8" s="306"/>
      <c r="M8" s="306"/>
      <c r="N8" s="242">
        <f t="shared" ref="N8:N17" si="0">IF($D8="MWh/yr (LHV)",$E8,$J8*$E8*(1-$L8)/Conversion_kWh_to_MJ)</f>
        <v>0</v>
      </c>
      <c r="O8" s="12"/>
      <c r="Q8" s="555"/>
      <c r="S8" s="40"/>
      <c r="T8" s="40"/>
      <c r="U8" s="40"/>
      <c r="V8" s="40"/>
      <c r="X8" s="21"/>
      <c r="Y8" s="19"/>
    </row>
    <row r="9" spans="1:28">
      <c r="B9" s="16" t="s">
        <v>1006</v>
      </c>
      <c r="C9" s="15" t="s">
        <v>1121</v>
      </c>
      <c r="D9" s="15" t="s">
        <v>459</v>
      </c>
      <c r="E9" s="35">
        <f>Hydrogen_flow</f>
        <v>0</v>
      </c>
      <c r="F9" s="24"/>
      <c r="G9" s="24"/>
      <c r="H9" s="24"/>
      <c r="I9" s="24"/>
      <c r="J9" s="35">
        <v>120</v>
      </c>
      <c r="K9" s="35"/>
      <c r="L9" s="512">
        <v>0</v>
      </c>
      <c r="M9" s="306"/>
      <c r="N9" s="242">
        <f t="shared" si="0"/>
        <v>0</v>
      </c>
      <c r="O9" s="88" t="str">
        <f>IFERROR(N9/N8,"")</f>
        <v/>
      </c>
      <c r="Q9" s="515">
        <f>IF($D9="MWh/yr (LHV)",$E9,$E9*MAX(0, $J9*(1-$L9)-2.441*$L9)/Conversion_kWh_to_MJ)</f>
        <v>0</v>
      </c>
      <c r="R9" s="43" t="str">
        <f>IFERROR(Q9/(SUM($Q$9:$Q$13)),"")</f>
        <v/>
      </c>
      <c r="S9" s="42"/>
      <c r="T9" s="42"/>
      <c r="U9" s="42"/>
      <c r="V9" s="19"/>
      <c r="X9" s="21"/>
      <c r="Y9" s="19"/>
    </row>
    <row r="10" spans="1:28">
      <c r="B10" s="186" t="s">
        <v>1008</v>
      </c>
      <c r="C10" s="184" t="s">
        <v>1009</v>
      </c>
      <c r="D10" s="179" t="s">
        <v>479</v>
      </c>
      <c r="E10" s="35"/>
      <c r="F10" s="21"/>
      <c r="G10" s="21"/>
      <c r="H10" s="20"/>
      <c r="I10" s="33"/>
      <c r="J10" s="300"/>
      <c r="K10" s="302"/>
      <c r="L10" s="302"/>
      <c r="M10" s="302"/>
      <c r="N10" s="242">
        <f t="shared" si="0"/>
        <v>0</v>
      </c>
      <c r="O10" s="12"/>
      <c r="Q10" s="515">
        <f>IF($D10="MWh/yr (LHV)",$E10,$E10*MAX(0, $J10*(1-$L10)-2.441*$L10)/Conversion_kWh_to_MJ)</f>
        <v>0</v>
      </c>
      <c r="R10" s="43" t="str">
        <f t="shared" ref="R10:R13" si="1">IFERROR(Q10/(SUM($Q$9:$Q$13)),"")</f>
        <v/>
      </c>
      <c r="S10" s="42"/>
      <c r="T10" s="42"/>
      <c r="U10" s="42"/>
      <c r="V10" s="19"/>
      <c r="W10" s="23"/>
      <c r="X10" s="21"/>
      <c r="Y10" s="19"/>
    </row>
    <row r="11" spans="1:28">
      <c r="B11" s="186" t="s">
        <v>1008</v>
      </c>
      <c r="C11" s="184" t="s">
        <v>1122</v>
      </c>
      <c r="D11" s="179" t="s">
        <v>479</v>
      </c>
      <c r="E11" s="35"/>
      <c r="F11" s="21"/>
      <c r="G11" s="21"/>
      <c r="H11" s="20"/>
      <c r="I11" s="20"/>
      <c r="J11" s="302"/>
      <c r="K11" s="302"/>
      <c r="L11" s="302"/>
      <c r="M11" s="302"/>
      <c r="N11" s="242">
        <f t="shared" si="0"/>
        <v>0</v>
      </c>
      <c r="O11" s="12"/>
      <c r="Q11" s="515">
        <f>IF($D11="MWh/yr (LHV)",$E11,$E11*MAX(0, $J11*(1-$L11)-2.441*$L11)/Conversion_kWh_to_MJ)</f>
        <v>0</v>
      </c>
      <c r="R11" s="43" t="str">
        <f t="shared" si="1"/>
        <v/>
      </c>
      <c r="S11" s="42"/>
      <c r="T11" s="42"/>
      <c r="U11" s="42"/>
      <c r="V11" s="14"/>
      <c r="W11" s="23"/>
      <c r="X11" s="21"/>
      <c r="Y11" s="19"/>
    </row>
    <row r="12" spans="1:28">
      <c r="B12" s="186" t="s">
        <v>1008</v>
      </c>
      <c r="C12" s="184" t="s">
        <v>1011</v>
      </c>
      <c r="D12" s="179" t="s">
        <v>459</v>
      </c>
      <c r="E12" s="35"/>
      <c r="F12" s="21"/>
      <c r="G12" s="21"/>
      <c r="H12" s="20"/>
      <c r="I12" s="20"/>
      <c r="J12" s="300"/>
      <c r="K12" s="302"/>
      <c r="L12" s="302"/>
      <c r="M12" s="302"/>
      <c r="N12" s="242">
        <f t="shared" si="0"/>
        <v>0</v>
      </c>
      <c r="O12" s="12"/>
      <c r="Q12" s="515">
        <f>IF($D12="MWh/yr (LHV)",$E12,$E12*MAX(0, $J12*(1-$L12)-2.441*$L12)/Conversion_kWh_to_MJ)</f>
        <v>0</v>
      </c>
      <c r="R12" s="43" t="str">
        <f t="shared" si="1"/>
        <v/>
      </c>
      <c r="S12" s="40"/>
      <c r="T12" s="40"/>
      <c r="U12" s="40"/>
      <c r="V12" s="40"/>
      <c r="X12" s="21"/>
      <c r="Y12" s="19"/>
    </row>
    <row r="13" spans="1:28">
      <c r="B13" s="186" t="s">
        <v>1008</v>
      </c>
      <c r="C13" s="184" t="s">
        <v>1012</v>
      </c>
      <c r="D13" s="179" t="s">
        <v>459</v>
      </c>
      <c r="E13" s="35"/>
      <c r="F13" s="21"/>
      <c r="G13" s="21"/>
      <c r="H13" s="20"/>
      <c r="I13" s="20"/>
      <c r="J13" s="302"/>
      <c r="K13" s="302"/>
      <c r="L13" s="302"/>
      <c r="M13" s="302"/>
      <c r="N13" s="242">
        <f t="shared" si="0"/>
        <v>0</v>
      </c>
      <c r="O13" s="12"/>
      <c r="Q13" s="515">
        <f>IF($D13="MWh/yr (LHV)",$E13,$E13*MAX(0, $J13*(1-$L13)-2.441*$L13)/Conversion_kWh_to_MJ)</f>
        <v>0</v>
      </c>
      <c r="R13" s="43" t="str">
        <f t="shared" si="1"/>
        <v/>
      </c>
      <c r="S13" s="40"/>
      <c r="T13" s="40"/>
      <c r="U13" s="40"/>
      <c r="V13" s="40"/>
      <c r="X13" s="21"/>
      <c r="Y13" s="19"/>
    </row>
    <row r="14" spans="1:28" s="14" customFormat="1">
      <c r="B14" s="186" t="s">
        <v>1013</v>
      </c>
      <c r="C14" s="184" t="s">
        <v>1108</v>
      </c>
      <c r="D14" s="179" t="s">
        <v>459</v>
      </c>
      <c r="E14" s="35"/>
      <c r="F14" s="21"/>
      <c r="G14" s="21"/>
      <c r="H14" s="20"/>
      <c r="I14" s="20"/>
      <c r="J14" s="302"/>
      <c r="K14" s="302"/>
      <c r="L14" s="302"/>
      <c r="M14" s="302"/>
      <c r="N14" s="242">
        <f t="shared" si="0"/>
        <v>0</v>
      </c>
      <c r="O14" s="12"/>
      <c r="P14" s="12"/>
      <c r="Q14" s="12"/>
      <c r="R14" s="12"/>
      <c r="S14" s="113"/>
      <c r="T14" s="113"/>
      <c r="U14" s="113"/>
      <c r="V14" s="19"/>
      <c r="W14" s="23"/>
      <c r="X14" s="21"/>
      <c r="Y14" s="23"/>
      <c r="Z14" s="42"/>
      <c r="AB14" s="19"/>
    </row>
    <row r="15" spans="1:28" s="14" customFormat="1">
      <c r="B15" s="186" t="s">
        <v>1013</v>
      </c>
      <c r="C15" s="184" t="s">
        <v>1015</v>
      </c>
      <c r="D15" s="179" t="s">
        <v>459</v>
      </c>
      <c r="E15" s="35"/>
      <c r="F15" s="21"/>
      <c r="G15" s="21"/>
      <c r="H15" s="20"/>
      <c r="I15" s="20"/>
      <c r="J15" s="302"/>
      <c r="K15" s="302"/>
      <c r="L15" s="302"/>
      <c r="M15" s="302"/>
      <c r="N15" s="242">
        <f t="shared" si="0"/>
        <v>0</v>
      </c>
      <c r="O15" s="12"/>
      <c r="P15" s="12"/>
      <c r="Q15" s="12"/>
      <c r="R15" s="12"/>
      <c r="S15" s="113"/>
      <c r="T15" s="113"/>
      <c r="U15" s="113"/>
      <c r="V15" s="19"/>
      <c r="W15" s="23"/>
      <c r="X15" s="21"/>
      <c r="Y15" s="23"/>
      <c r="Z15" s="42"/>
      <c r="AB15" s="19"/>
    </row>
    <row r="16" spans="1:28" s="14" customFormat="1">
      <c r="B16" s="186" t="s">
        <v>1016</v>
      </c>
      <c r="C16" s="184" t="s">
        <v>1017</v>
      </c>
      <c r="D16" s="179" t="s">
        <v>459</v>
      </c>
      <c r="E16" s="35"/>
      <c r="F16" s="21"/>
      <c r="G16" s="21"/>
      <c r="H16" s="20"/>
      <c r="I16" s="36"/>
      <c r="J16" s="300"/>
      <c r="K16" s="302"/>
      <c r="L16" s="302"/>
      <c r="M16" s="302"/>
      <c r="N16" s="242">
        <f t="shared" si="0"/>
        <v>0</v>
      </c>
      <c r="O16" s="12"/>
      <c r="P16" s="12"/>
      <c r="Q16" s="12"/>
      <c r="R16" s="12"/>
      <c r="S16" s="113"/>
      <c r="T16" s="113"/>
      <c r="U16" s="113"/>
      <c r="V16" s="19"/>
      <c r="X16" s="21"/>
    </row>
    <row r="17" spans="2:25" s="14" customFormat="1">
      <c r="B17" s="186" t="s">
        <v>1016</v>
      </c>
      <c r="C17" s="184" t="s">
        <v>1018</v>
      </c>
      <c r="D17" s="179" t="s">
        <v>459</v>
      </c>
      <c r="E17" s="35"/>
      <c r="F17" s="21"/>
      <c r="G17" s="21"/>
      <c r="H17" s="20"/>
      <c r="I17" s="36"/>
      <c r="J17" s="300"/>
      <c r="K17" s="302"/>
      <c r="L17" s="302"/>
      <c r="M17" s="302"/>
      <c r="N17" s="242">
        <f t="shared" si="0"/>
        <v>0</v>
      </c>
      <c r="O17" s="12"/>
      <c r="P17" s="12"/>
      <c r="Q17" s="12"/>
      <c r="R17" s="12"/>
      <c r="S17" s="113"/>
      <c r="T17" s="113"/>
      <c r="U17" s="113"/>
      <c r="V17" s="19"/>
      <c r="X17" s="21"/>
    </row>
    <row r="18" spans="2:25">
      <c r="B18" s="78"/>
      <c r="C18" s="262"/>
      <c r="D18" s="78"/>
      <c r="E18" s="482"/>
      <c r="F18" s="261"/>
      <c r="G18" s="79"/>
      <c r="H18" s="260"/>
      <c r="I18" s="260"/>
      <c r="J18" s="482"/>
      <c r="K18" s="254"/>
      <c r="L18" s="73"/>
      <c r="M18" s="73"/>
      <c r="N18" s="73"/>
      <c r="O18" s="12"/>
      <c r="S18" s="40"/>
      <c r="T18" s="40"/>
      <c r="U18" s="40"/>
      <c r="V18" s="40"/>
      <c r="X18" s="261"/>
      <c r="Y18" s="19"/>
    </row>
    <row r="19" spans="2:25" ht="31">
      <c r="B19" s="80" t="str">
        <f>IF(AND(GHG_NG_REFORM_CCS!$D$7="Default",Master_Switch="On"),"Default data selected for the emissions category below, move to the next emissions category within this step","")</f>
        <v/>
      </c>
      <c r="C19" s="262"/>
      <c r="D19" s="78"/>
      <c r="E19" s="482"/>
      <c r="F19" s="261"/>
      <c r="G19" s="79"/>
      <c r="H19" s="260"/>
      <c r="I19" s="260"/>
      <c r="J19" s="482"/>
      <c r="K19" s="254"/>
      <c r="L19" s="73"/>
      <c r="M19" s="73"/>
      <c r="N19" s="73"/>
      <c r="O19" s="12"/>
      <c r="S19" s="40"/>
      <c r="T19" s="40"/>
      <c r="U19" s="40"/>
      <c r="V19" s="40"/>
      <c r="X19" s="261"/>
      <c r="Y19" s="19"/>
    </row>
    <row r="20" spans="2:25">
      <c r="B20" s="145" t="s">
        <v>1123</v>
      </c>
      <c r="C20" s="259"/>
      <c r="D20" s="259"/>
      <c r="E20" s="494"/>
      <c r="F20" s="258"/>
      <c r="G20" s="257"/>
      <c r="H20" s="151"/>
      <c r="I20" s="151"/>
      <c r="J20" s="494"/>
      <c r="K20" s="491"/>
      <c r="L20" s="492"/>
      <c r="M20" s="492"/>
      <c r="N20" s="491"/>
      <c r="O20" s="151"/>
      <c r="P20" s="152"/>
      <c r="Q20" s="152"/>
      <c r="R20" s="152"/>
      <c r="S20" s="480"/>
      <c r="T20" s="486"/>
      <c r="U20" s="480"/>
      <c r="V20" s="153">
        <f>SUM(V21:V30)</f>
        <v>0</v>
      </c>
      <c r="Y20" s="19"/>
    </row>
    <row r="21" spans="2:25">
      <c r="B21" s="186" t="s">
        <v>1021</v>
      </c>
      <c r="C21" s="184" t="s">
        <v>1124</v>
      </c>
      <c r="D21" s="179" t="s">
        <v>479</v>
      </c>
      <c r="E21" s="35"/>
      <c r="F21" s="24"/>
      <c r="G21" s="24"/>
      <c r="H21" s="24"/>
      <c r="I21" s="24"/>
      <c r="J21" s="303"/>
      <c r="K21" s="35"/>
      <c r="L21" s="306"/>
      <c r="M21" s="306"/>
      <c r="N21" s="242">
        <f t="shared" ref="N21:N30" si="2">IF($D21="MWh/yr (LHV)",$E21,$J21*$E21*(1-$L21)/Conversion_kWh_to_MJ)</f>
        <v>0</v>
      </c>
      <c r="O21" s="12"/>
      <c r="S21" s="35" t="str">
        <f t="shared" ref="S21:S30" si="3">IF(B21="", "", IF(D21="MWh/yr (LHV)", "Use column to right", "Enter data here"))</f>
        <v>Use column to right</v>
      </c>
      <c r="T21" s="300" t="e">
        <f>Initial_questions!$E$43*1/Conversion_kWh_to_MJ</f>
        <v>#VALUE!</v>
      </c>
      <c r="U21" s="300" t="s">
        <v>1062</v>
      </c>
      <c r="V21" s="243" t="str">
        <f t="shared" ref="V21:V30" si="4">IFERROR(IF(D21="tonnes/yr", $S21*$E21/($N$9*3.6), $T21*$E21*3.6/($N$9*3.6)), "Unfilled fields to left")</f>
        <v>Unfilled fields to left</v>
      </c>
      <c r="X21" s="21"/>
      <c r="Y21" s="19"/>
    </row>
    <row r="22" spans="2:25">
      <c r="B22" s="186" t="s">
        <v>1021</v>
      </c>
      <c r="C22" s="184" t="s">
        <v>1125</v>
      </c>
      <c r="D22" s="179" t="s">
        <v>479</v>
      </c>
      <c r="E22" s="35"/>
      <c r="F22" s="24"/>
      <c r="G22" s="24"/>
      <c r="H22" s="24"/>
      <c r="I22" s="24"/>
      <c r="J22" s="300"/>
      <c r="K22" s="300"/>
      <c r="L22" s="302"/>
      <c r="M22" s="302"/>
      <c r="N22" s="242">
        <f t="shared" si="2"/>
        <v>0</v>
      </c>
      <c r="O22" s="12"/>
      <c r="S22" s="35" t="str">
        <f t="shared" si="3"/>
        <v>Use column to right</v>
      </c>
      <c r="T22" s="300" t="e">
        <f>Initial_questions!$E$43*1/Conversion_kWh_to_MJ</f>
        <v>#VALUE!</v>
      </c>
      <c r="U22" s="300" t="s">
        <v>1062</v>
      </c>
      <c r="V22" s="357" t="str">
        <f t="shared" si="4"/>
        <v>Unfilled fields to left</v>
      </c>
      <c r="X22" s="25"/>
      <c r="Y22" s="19"/>
    </row>
    <row r="23" spans="2:25">
      <c r="B23" s="186" t="s">
        <v>1021</v>
      </c>
      <c r="C23" s="184" t="s">
        <v>1126</v>
      </c>
      <c r="D23" s="179" t="s">
        <v>479</v>
      </c>
      <c r="E23" s="35"/>
      <c r="F23" s="24"/>
      <c r="G23" s="24"/>
      <c r="H23" s="24"/>
      <c r="I23" s="24"/>
      <c r="J23" s="300"/>
      <c r="K23" s="300"/>
      <c r="L23" s="302"/>
      <c r="M23" s="302"/>
      <c r="N23" s="242">
        <f t="shared" si="2"/>
        <v>0</v>
      </c>
      <c r="O23" s="55"/>
      <c r="S23" s="35" t="str">
        <f t="shared" si="3"/>
        <v>Use column to right</v>
      </c>
      <c r="T23" s="300" t="e">
        <f>Initial_questions!$E$43*1/Conversion_kWh_to_MJ</f>
        <v>#VALUE!</v>
      </c>
      <c r="U23" s="300" t="s">
        <v>1062</v>
      </c>
      <c r="V23" s="357" t="str">
        <f t="shared" si="4"/>
        <v>Unfilled fields to left</v>
      </c>
      <c r="X23" s="25"/>
      <c r="Y23" s="19"/>
    </row>
    <row r="24" spans="2:25">
      <c r="B24" s="186" t="s">
        <v>1021</v>
      </c>
      <c r="C24" s="184" t="s">
        <v>1039</v>
      </c>
      <c r="D24" s="179" t="s">
        <v>479</v>
      </c>
      <c r="E24" s="35"/>
      <c r="F24" s="82"/>
      <c r="G24" s="21"/>
      <c r="H24" s="20"/>
      <c r="I24" s="36"/>
      <c r="J24" s="300"/>
      <c r="K24" s="302"/>
      <c r="L24" s="306"/>
      <c r="M24" s="306"/>
      <c r="N24" s="242">
        <f t="shared" si="2"/>
        <v>0</v>
      </c>
      <c r="O24" s="19"/>
      <c r="P24" s="19"/>
      <c r="Q24" s="19"/>
      <c r="R24" s="19"/>
      <c r="S24" s="35" t="str">
        <f t="shared" si="3"/>
        <v>Use column to right</v>
      </c>
      <c r="T24" s="35" t="str">
        <f t="shared" ref="T24:T30" si="5">IF(B24="", "", IF(D24="MWh/yr (LHV)", "Enter data here", "Use column to left"))</f>
        <v>Enter data here</v>
      </c>
      <c r="U24" s="35" t="s">
        <v>1137</v>
      </c>
      <c r="V24" s="357" t="str">
        <f t="shared" si="4"/>
        <v>Unfilled fields to left</v>
      </c>
      <c r="X24" s="25"/>
      <c r="Y24" s="19"/>
    </row>
    <row r="25" spans="2:25">
      <c r="B25" s="186" t="s">
        <v>1021</v>
      </c>
      <c r="C25" s="184" t="s">
        <v>1041</v>
      </c>
      <c r="D25" s="179" t="s">
        <v>479</v>
      </c>
      <c r="E25" s="35"/>
      <c r="F25" s="21"/>
      <c r="G25" s="21"/>
      <c r="H25" s="20"/>
      <c r="I25" s="36"/>
      <c r="J25" s="300"/>
      <c r="K25" s="302"/>
      <c r="L25" s="306"/>
      <c r="M25" s="306"/>
      <c r="N25" s="242">
        <f t="shared" si="2"/>
        <v>0</v>
      </c>
      <c r="O25" s="19"/>
      <c r="P25" s="19"/>
      <c r="Q25" s="19"/>
      <c r="R25" s="19"/>
      <c r="S25" s="35" t="str">
        <f t="shared" si="3"/>
        <v>Use column to right</v>
      </c>
      <c r="T25" s="35" t="str">
        <f t="shared" si="5"/>
        <v>Enter data here</v>
      </c>
      <c r="U25" s="35" t="s">
        <v>1137</v>
      </c>
      <c r="V25" s="357" t="str">
        <f t="shared" si="4"/>
        <v>Unfilled fields to left</v>
      </c>
      <c r="X25" s="25"/>
      <c r="Y25" s="19"/>
    </row>
    <row r="26" spans="2:25">
      <c r="B26" s="186" t="s">
        <v>1042</v>
      </c>
      <c r="C26" s="184" t="s">
        <v>1043</v>
      </c>
      <c r="D26" s="179" t="s">
        <v>459</v>
      </c>
      <c r="E26" s="35"/>
      <c r="F26" s="21"/>
      <c r="G26" s="21"/>
      <c r="H26" s="21"/>
      <c r="I26" s="21"/>
      <c r="J26" s="306"/>
      <c r="K26" s="306"/>
      <c r="L26" s="302"/>
      <c r="M26" s="302"/>
      <c r="N26" s="242">
        <f t="shared" si="2"/>
        <v>0</v>
      </c>
      <c r="O26" s="19"/>
      <c r="P26" s="19"/>
      <c r="Q26" s="19"/>
      <c r="R26" s="19"/>
      <c r="S26" s="35" t="str">
        <f t="shared" si="3"/>
        <v>Enter data here</v>
      </c>
      <c r="T26" s="35" t="str">
        <f t="shared" si="5"/>
        <v>Use column to left</v>
      </c>
      <c r="U26" s="35" t="s">
        <v>1137</v>
      </c>
      <c r="V26" s="357" t="str">
        <f t="shared" si="4"/>
        <v>Unfilled fields to left</v>
      </c>
      <c r="X26" s="21"/>
      <c r="Y26" s="19"/>
    </row>
    <row r="27" spans="2:25">
      <c r="B27" s="186" t="s">
        <v>1042</v>
      </c>
      <c r="C27" s="184" t="s">
        <v>1045</v>
      </c>
      <c r="D27" s="179" t="s">
        <v>459</v>
      </c>
      <c r="E27" s="35"/>
      <c r="F27" s="21"/>
      <c r="G27" s="21"/>
      <c r="H27" s="21"/>
      <c r="I27" s="21"/>
      <c r="J27" s="306"/>
      <c r="K27" s="306"/>
      <c r="L27" s="302"/>
      <c r="M27" s="302"/>
      <c r="N27" s="242">
        <f t="shared" si="2"/>
        <v>0</v>
      </c>
      <c r="O27" s="19"/>
      <c r="P27" s="19"/>
      <c r="Q27" s="19"/>
      <c r="R27" s="19"/>
      <c r="S27" s="35" t="str">
        <f t="shared" si="3"/>
        <v>Enter data here</v>
      </c>
      <c r="T27" s="35" t="str">
        <f t="shared" si="5"/>
        <v>Use column to left</v>
      </c>
      <c r="U27" s="35" t="s">
        <v>1137</v>
      </c>
      <c r="V27" s="357" t="str">
        <f t="shared" si="4"/>
        <v>Unfilled fields to left</v>
      </c>
      <c r="X27" s="21"/>
      <c r="Y27" s="19"/>
    </row>
    <row r="28" spans="2:25">
      <c r="B28" s="186" t="s">
        <v>1042</v>
      </c>
      <c r="C28" s="184" t="s">
        <v>1046</v>
      </c>
      <c r="D28" s="179" t="s">
        <v>459</v>
      </c>
      <c r="E28" s="35"/>
      <c r="F28" s="21"/>
      <c r="G28" s="21"/>
      <c r="H28" s="21"/>
      <c r="I28" s="21"/>
      <c r="J28" s="306"/>
      <c r="K28" s="306"/>
      <c r="L28" s="302"/>
      <c r="M28" s="302"/>
      <c r="N28" s="242">
        <f t="shared" si="2"/>
        <v>0</v>
      </c>
      <c r="O28" s="19"/>
      <c r="P28" s="19"/>
      <c r="Q28" s="19"/>
      <c r="R28" s="19"/>
      <c r="S28" s="35" t="str">
        <f t="shared" si="3"/>
        <v>Enter data here</v>
      </c>
      <c r="T28" s="35" t="str">
        <f t="shared" si="5"/>
        <v>Use column to left</v>
      </c>
      <c r="U28" s="35" t="s">
        <v>1137</v>
      </c>
      <c r="V28" s="357" t="str">
        <f t="shared" si="4"/>
        <v>Unfilled fields to left</v>
      </c>
      <c r="X28" s="21"/>
      <c r="Y28" s="19"/>
    </row>
    <row r="29" spans="2:25">
      <c r="B29" s="16"/>
      <c r="C29" s="15"/>
      <c r="D29" s="179"/>
      <c r="E29" s="35"/>
      <c r="F29" s="21"/>
      <c r="G29" s="21"/>
      <c r="H29" s="20"/>
      <c r="I29" s="36"/>
      <c r="J29" s="300"/>
      <c r="K29" s="302"/>
      <c r="L29" s="302"/>
      <c r="M29" s="302"/>
      <c r="N29" s="242">
        <f t="shared" si="2"/>
        <v>0</v>
      </c>
      <c r="O29" s="19"/>
      <c r="P29" s="19"/>
      <c r="Q29" s="19"/>
      <c r="R29" s="19"/>
      <c r="S29" s="35" t="str">
        <f t="shared" si="3"/>
        <v/>
      </c>
      <c r="T29" s="35" t="str">
        <f t="shared" si="5"/>
        <v/>
      </c>
      <c r="U29" s="35"/>
      <c r="V29" s="357" t="str">
        <f t="shared" si="4"/>
        <v>Unfilled fields to left</v>
      </c>
      <c r="X29" s="25"/>
      <c r="Y29" s="19"/>
    </row>
    <row r="30" spans="2:25">
      <c r="B30" s="16"/>
      <c r="C30" s="15"/>
      <c r="D30" s="179"/>
      <c r="E30" s="35"/>
      <c r="F30" s="21"/>
      <c r="G30" s="21"/>
      <c r="H30" s="20"/>
      <c r="I30" s="36"/>
      <c r="J30" s="300"/>
      <c r="K30" s="302"/>
      <c r="L30" s="302"/>
      <c r="M30" s="302"/>
      <c r="N30" s="242">
        <f t="shared" si="2"/>
        <v>0</v>
      </c>
      <c r="O30" s="19"/>
      <c r="P30" s="19"/>
      <c r="Q30" s="19"/>
      <c r="R30" s="19"/>
      <c r="S30" s="35" t="str">
        <f t="shared" si="3"/>
        <v/>
      </c>
      <c r="T30" s="35" t="str">
        <f t="shared" si="5"/>
        <v/>
      </c>
      <c r="U30" s="35"/>
      <c r="V30" s="357" t="str">
        <f t="shared" si="4"/>
        <v>Unfilled fields to left</v>
      </c>
      <c r="X30" s="25"/>
      <c r="Y30" s="19"/>
    </row>
    <row r="31" spans="2:25">
      <c r="C31" s="262"/>
      <c r="D31" s="262"/>
      <c r="E31" s="509"/>
      <c r="F31" s="79"/>
      <c r="G31" s="79"/>
      <c r="H31" s="260"/>
      <c r="I31" s="255"/>
      <c r="J31" s="482"/>
      <c r="K31" s="254"/>
      <c r="L31" s="73"/>
      <c r="M31" s="73"/>
      <c r="N31" s="73"/>
      <c r="O31" s="12"/>
      <c r="S31" s="482"/>
      <c r="T31" s="254"/>
      <c r="U31" s="254"/>
      <c r="V31" s="254"/>
      <c r="X31" s="253"/>
      <c r="Y31" s="19"/>
    </row>
    <row r="32" spans="2:25" ht="16.5">
      <c r="B32" s="145" t="s">
        <v>1138</v>
      </c>
      <c r="C32" s="252"/>
      <c r="D32" s="252"/>
      <c r="E32" s="510"/>
      <c r="F32" s="251"/>
      <c r="G32" s="251"/>
      <c r="H32" s="250"/>
      <c r="I32" s="249"/>
      <c r="J32" s="487"/>
      <c r="K32" s="488"/>
      <c r="L32" s="476"/>
      <c r="M32" s="476"/>
      <c r="N32" s="476"/>
      <c r="O32" s="158"/>
      <c r="P32" s="158"/>
      <c r="Q32" s="158"/>
      <c r="R32" s="158"/>
      <c r="S32" s="487"/>
      <c r="T32" s="488"/>
      <c r="U32" s="488"/>
      <c r="V32" s="153">
        <f>SUM(V33:V42)</f>
        <v>0</v>
      </c>
      <c r="X32" s="253"/>
      <c r="Y32" s="19"/>
    </row>
    <row r="33" spans="2:25">
      <c r="B33" s="186" t="s">
        <v>1048</v>
      </c>
      <c r="C33" s="184" t="s">
        <v>1128</v>
      </c>
      <c r="D33" s="179" t="s">
        <v>459</v>
      </c>
      <c r="E33" s="35"/>
      <c r="F33" s="21"/>
      <c r="G33" s="21"/>
      <c r="H33" s="21"/>
      <c r="I33" s="21"/>
      <c r="J33" s="306"/>
      <c r="K33" s="306"/>
      <c r="L33" s="306"/>
      <c r="M33" s="306"/>
      <c r="N33" s="242">
        <f t="shared" ref="N33:N42" si="6">IF($D33="MWh/yr (LHV)",$E33,$J33*$E33*(1-$L33)/Conversion_kWh_to_MJ)</f>
        <v>0</v>
      </c>
      <c r="O33" s="12"/>
      <c r="S33" s="35" t="s">
        <v>1129</v>
      </c>
      <c r="T33" s="35" t="s">
        <v>1130</v>
      </c>
      <c r="U33" s="35" t="s">
        <v>1137</v>
      </c>
      <c r="V33" s="242" t="str">
        <f t="shared" ref="V33:V42" si="7">IFERROR(IF(D33="tonnes/yr", $S33*$E33/($N$9*3.6), $T33*$E33*3.6/($N$9*3.6)), "Unfilled fields to left")</f>
        <v>Unfilled fields to left</v>
      </c>
      <c r="X33" s="21"/>
      <c r="Y33" s="19"/>
    </row>
    <row r="34" spans="2:25">
      <c r="B34" s="186" t="s">
        <v>1051</v>
      </c>
      <c r="C34" s="184" t="s">
        <v>1010</v>
      </c>
      <c r="D34" s="179" t="s">
        <v>459</v>
      </c>
      <c r="E34" s="35"/>
      <c r="F34" s="21"/>
      <c r="G34" s="21"/>
      <c r="H34" s="20"/>
      <c r="I34" s="36"/>
      <c r="J34" s="300"/>
      <c r="K34" s="302"/>
      <c r="L34" s="302"/>
      <c r="M34" s="302"/>
      <c r="N34" s="242">
        <f t="shared" si="6"/>
        <v>0</v>
      </c>
      <c r="O34" s="12"/>
      <c r="S34" s="35" t="s">
        <v>1129</v>
      </c>
      <c r="T34" s="35" t="s">
        <v>1130</v>
      </c>
      <c r="U34" s="35" t="s">
        <v>1137</v>
      </c>
      <c r="V34" s="242" t="str">
        <f t="shared" si="7"/>
        <v>Unfilled fields to left</v>
      </c>
      <c r="X34" s="25"/>
      <c r="Y34" s="19"/>
    </row>
    <row r="35" spans="2:25">
      <c r="B35" s="186" t="s">
        <v>1051</v>
      </c>
      <c r="C35" s="184" t="s">
        <v>1053</v>
      </c>
      <c r="D35" s="179" t="s">
        <v>459</v>
      </c>
      <c r="E35" s="35"/>
      <c r="F35" s="21"/>
      <c r="G35" s="21"/>
      <c r="H35" s="20"/>
      <c r="I35" s="36"/>
      <c r="J35" s="300"/>
      <c r="K35" s="302"/>
      <c r="L35" s="302"/>
      <c r="M35" s="302"/>
      <c r="N35" s="242">
        <f t="shared" si="6"/>
        <v>0</v>
      </c>
      <c r="O35" s="12"/>
      <c r="S35" s="35" t="s">
        <v>1129</v>
      </c>
      <c r="T35" s="35" t="s">
        <v>1130</v>
      </c>
      <c r="U35" s="35" t="s">
        <v>1137</v>
      </c>
      <c r="V35" s="242" t="str">
        <f t="shared" si="7"/>
        <v>Unfilled fields to left</v>
      </c>
      <c r="X35" s="25"/>
      <c r="Y35" s="19"/>
    </row>
    <row r="36" spans="2:25">
      <c r="B36" s="186" t="s">
        <v>1051</v>
      </c>
      <c r="C36" s="184"/>
      <c r="D36" s="179"/>
      <c r="E36" s="35"/>
      <c r="F36" s="21"/>
      <c r="G36" s="21"/>
      <c r="H36" s="20"/>
      <c r="I36" s="36"/>
      <c r="J36" s="300"/>
      <c r="K36" s="302"/>
      <c r="L36" s="302"/>
      <c r="M36" s="302"/>
      <c r="N36" s="242">
        <f t="shared" si="6"/>
        <v>0</v>
      </c>
      <c r="O36" s="12"/>
      <c r="S36" s="35" t="s">
        <v>1129</v>
      </c>
      <c r="T36" s="35" t="s">
        <v>1130</v>
      </c>
      <c r="U36" s="35" t="s">
        <v>1137</v>
      </c>
      <c r="V36" s="242" t="str">
        <f t="shared" si="7"/>
        <v>Unfilled fields to left</v>
      </c>
      <c r="X36" s="25"/>
      <c r="Y36" s="19"/>
    </row>
    <row r="37" spans="2:25">
      <c r="B37" s="186" t="s">
        <v>1054</v>
      </c>
      <c r="C37" s="184" t="s">
        <v>1055</v>
      </c>
      <c r="D37" s="179" t="s">
        <v>459</v>
      </c>
      <c r="E37" s="35"/>
      <c r="F37" s="21"/>
      <c r="G37" s="21"/>
      <c r="H37" s="20"/>
      <c r="I37" s="36"/>
      <c r="J37" s="300"/>
      <c r="K37" s="302"/>
      <c r="L37" s="302"/>
      <c r="M37" s="302"/>
      <c r="N37" s="242">
        <f t="shared" si="6"/>
        <v>0</v>
      </c>
      <c r="O37" s="12"/>
      <c r="S37" s="35" t="s">
        <v>1129</v>
      </c>
      <c r="T37" s="35" t="s">
        <v>1130</v>
      </c>
      <c r="U37" s="35" t="s">
        <v>1137</v>
      </c>
      <c r="V37" s="242" t="str">
        <f t="shared" si="7"/>
        <v>Unfilled fields to left</v>
      </c>
      <c r="X37" s="25"/>
      <c r="Y37" s="19"/>
    </row>
    <row r="38" spans="2:25">
      <c r="B38" s="186" t="s">
        <v>1054</v>
      </c>
      <c r="C38" s="184"/>
      <c r="D38" s="179"/>
      <c r="E38" s="35"/>
      <c r="F38" s="21"/>
      <c r="G38" s="21"/>
      <c r="H38" s="20"/>
      <c r="I38" s="36"/>
      <c r="J38" s="300"/>
      <c r="K38" s="302"/>
      <c r="L38" s="302"/>
      <c r="M38" s="302"/>
      <c r="N38" s="242">
        <f t="shared" si="6"/>
        <v>0</v>
      </c>
      <c r="O38" s="12"/>
      <c r="S38" s="35" t="s">
        <v>1129</v>
      </c>
      <c r="T38" s="35" t="s">
        <v>1130</v>
      </c>
      <c r="U38" s="35" t="s">
        <v>1137</v>
      </c>
      <c r="V38" s="242" t="str">
        <f t="shared" si="7"/>
        <v>Unfilled fields to left</v>
      </c>
      <c r="X38" s="25"/>
      <c r="Y38" s="19"/>
    </row>
    <row r="39" spans="2:25">
      <c r="B39" s="16"/>
      <c r="C39" s="15"/>
      <c r="D39" s="179"/>
      <c r="E39" s="35"/>
      <c r="F39" s="21"/>
      <c r="G39" s="21"/>
      <c r="H39" s="20"/>
      <c r="I39" s="36"/>
      <c r="J39" s="300"/>
      <c r="K39" s="302"/>
      <c r="L39" s="302"/>
      <c r="M39" s="302"/>
      <c r="N39" s="242">
        <f t="shared" si="6"/>
        <v>0</v>
      </c>
      <c r="O39" s="12"/>
      <c r="S39" s="300"/>
      <c r="T39" s="302"/>
      <c r="U39" s="302"/>
      <c r="V39" s="242" t="str">
        <f t="shared" si="7"/>
        <v>Unfilled fields to left</v>
      </c>
      <c r="X39" s="25"/>
      <c r="Y39" s="19"/>
    </row>
    <row r="40" spans="2:25">
      <c r="B40" s="16"/>
      <c r="C40" s="15"/>
      <c r="D40" s="179"/>
      <c r="E40" s="35"/>
      <c r="F40" s="21"/>
      <c r="G40" s="21"/>
      <c r="H40" s="20"/>
      <c r="I40" s="36"/>
      <c r="J40" s="300"/>
      <c r="K40" s="302"/>
      <c r="L40" s="302"/>
      <c r="M40" s="302"/>
      <c r="N40" s="242">
        <f t="shared" si="6"/>
        <v>0</v>
      </c>
      <c r="O40" s="12"/>
      <c r="S40" s="300"/>
      <c r="T40" s="302"/>
      <c r="U40" s="302"/>
      <c r="V40" s="242" t="str">
        <f t="shared" si="7"/>
        <v>Unfilled fields to left</v>
      </c>
      <c r="X40" s="25"/>
      <c r="Y40" s="19"/>
    </row>
    <row r="41" spans="2:25">
      <c r="B41" s="16"/>
      <c r="C41" s="15"/>
      <c r="D41" s="179"/>
      <c r="E41" s="35"/>
      <c r="F41" s="21"/>
      <c r="G41" s="21"/>
      <c r="H41" s="20"/>
      <c r="I41" s="36"/>
      <c r="J41" s="300"/>
      <c r="K41" s="302"/>
      <c r="L41" s="302"/>
      <c r="M41" s="302"/>
      <c r="N41" s="242">
        <f t="shared" si="6"/>
        <v>0</v>
      </c>
      <c r="O41" s="12"/>
      <c r="S41" s="300"/>
      <c r="T41" s="302"/>
      <c r="U41" s="302"/>
      <c r="V41" s="242" t="str">
        <f t="shared" si="7"/>
        <v>Unfilled fields to left</v>
      </c>
      <c r="X41" s="25"/>
      <c r="Y41" s="19"/>
    </row>
    <row r="42" spans="2:25">
      <c r="B42" s="16"/>
      <c r="C42" s="15"/>
      <c r="D42" s="179"/>
      <c r="E42" s="35"/>
      <c r="F42" s="21"/>
      <c r="G42" s="21"/>
      <c r="H42" s="20"/>
      <c r="I42" s="36"/>
      <c r="J42" s="300"/>
      <c r="K42" s="302"/>
      <c r="L42" s="302"/>
      <c r="M42" s="302"/>
      <c r="N42" s="242">
        <f t="shared" si="6"/>
        <v>0</v>
      </c>
      <c r="O42" s="12"/>
      <c r="S42" s="300"/>
      <c r="T42" s="302"/>
      <c r="U42" s="302"/>
      <c r="V42" s="242" t="str">
        <f t="shared" si="7"/>
        <v>Unfilled fields to left</v>
      </c>
      <c r="X42" s="25"/>
      <c r="Y42" s="19"/>
    </row>
    <row r="43" spans="2:25">
      <c r="B43" s="14"/>
      <c r="C43" s="83"/>
      <c r="D43" s="83"/>
      <c r="E43" s="498"/>
      <c r="F43" s="84"/>
      <c r="G43" s="85"/>
      <c r="H43" s="86"/>
      <c r="I43" s="86"/>
      <c r="J43" s="87"/>
      <c r="K43" s="87"/>
      <c r="L43" s="87"/>
      <c r="M43" s="87"/>
      <c r="N43" s="87"/>
      <c r="O43" s="28"/>
      <c r="P43" s="14"/>
      <c r="Q43" s="14"/>
      <c r="R43" s="14"/>
      <c r="S43" s="87"/>
      <c r="T43" s="87"/>
      <c r="U43" s="87"/>
      <c r="V43" s="87"/>
      <c r="X43" s="248"/>
      <c r="Y43" s="19"/>
    </row>
    <row r="44" spans="2:25" s="14" customFormat="1" ht="16.5">
      <c r="B44" s="145" t="s">
        <v>1131</v>
      </c>
      <c r="C44" s="159"/>
      <c r="D44" s="159"/>
      <c r="E44" s="499"/>
      <c r="F44" s="160"/>
      <c r="G44" s="161"/>
      <c r="H44" s="160"/>
      <c r="I44" s="160"/>
      <c r="J44" s="307"/>
      <c r="K44" s="307"/>
      <c r="L44" s="476"/>
      <c r="M44" s="476"/>
      <c r="N44" s="476"/>
      <c r="O44" s="158"/>
      <c r="P44" s="158"/>
      <c r="Q44" s="158"/>
      <c r="R44" s="158"/>
      <c r="S44" s="307"/>
      <c r="T44" s="307"/>
      <c r="U44" s="307"/>
      <c r="V44" s="153">
        <f>SUM(V45:V49)</f>
        <v>0</v>
      </c>
      <c r="X44" s="79"/>
    </row>
    <row r="45" spans="2:25" s="14" customFormat="1">
      <c r="B45" s="186" t="s">
        <v>1057</v>
      </c>
      <c r="C45" s="184" t="s">
        <v>1132</v>
      </c>
      <c r="D45" s="179" t="s">
        <v>459</v>
      </c>
      <c r="E45" s="35"/>
      <c r="F45" s="24"/>
      <c r="G45" s="24"/>
      <c r="H45" s="24"/>
      <c r="I45" s="24"/>
      <c r="J45" s="35"/>
      <c r="K45" s="35"/>
      <c r="L45" s="306"/>
      <c r="M45" s="306"/>
      <c r="N45" s="242">
        <f>IF($D45="MWh/yr (LHV)",$E45,$J45*$E45*(1-$L45)/Conversion_kWh_to_MJ)</f>
        <v>0</v>
      </c>
      <c r="O45" s="12"/>
      <c r="P45" s="12"/>
      <c r="Q45" s="12"/>
      <c r="R45" s="12"/>
      <c r="S45" s="300">
        <v>1000</v>
      </c>
      <c r="T45" s="477"/>
      <c r="U45" s="35" t="s">
        <v>1110</v>
      </c>
      <c r="V45" s="242" t="str">
        <f>IFERROR(IF(D45="tonnes/yr", $S45*$E45/($N$9*3.6), $T45*$E45*3.6/($N$9*3.6)), "Unfilled fields to left")</f>
        <v>Unfilled fields to left</v>
      </c>
      <c r="W45" s="112"/>
      <c r="X45" s="21"/>
    </row>
    <row r="46" spans="2:25" s="14" customFormat="1">
      <c r="B46" s="186"/>
      <c r="C46" s="184"/>
      <c r="D46" s="179"/>
      <c r="E46" s="35"/>
      <c r="F46" s="63"/>
      <c r="G46" s="63"/>
      <c r="H46" s="63"/>
      <c r="I46" s="63"/>
      <c r="J46" s="304"/>
      <c r="K46" s="306"/>
      <c r="L46" s="306"/>
      <c r="M46" s="306"/>
      <c r="N46" s="242">
        <f>IF($D46="MWh/yr (LHV)",$E46,$J46*$E46*(1-$L46)/Conversion_kWh_to_MJ)</f>
        <v>0</v>
      </c>
      <c r="O46" s="12"/>
      <c r="P46" s="12"/>
      <c r="Q46" s="12"/>
      <c r="R46" s="12"/>
      <c r="S46" s="300"/>
      <c r="T46" s="477"/>
      <c r="U46" s="300"/>
      <c r="V46" s="242" t="str">
        <f>IFERROR(IF(D46="tonnes/yr", $S46*$E46/($N$9*3.6), $T46*$E46*3.6/($N$9*3.6)), "Unfilled fields to left")</f>
        <v>Unfilled fields to left</v>
      </c>
      <c r="X46" s="21"/>
    </row>
    <row r="47" spans="2:25" s="14" customFormat="1">
      <c r="B47" s="64"/>
      <c r="C47" s="15"/>
      <c r="D47" s="179"/>
      <c r="E47" s="35"/>
      <c r="F47" s="21"/>
      <c r="G47" s="21"/>
      <c r="H47" s="63"/>
      <c r="I47" s="63"/>
      <c r="J47" s="304"/>
      <c r="K47" s="306"/>
      <c r="L47" s="306"/>
      <c r="M47" s="306"/>
      <c r="N47" s="242">
        <f>IF($D47="MWh/yr (LHV)",$E47,$J47*$E47*(1-$L47)/Conversion_kWh_to_MJ)</f>
        <v>0</v>
      </c>
      <c r="O47" s="19"/>
      <c r="P47" s="19"/>
      <c r="Q47" s="19"/>
      <c r="R47" s="19"/>
      <c r="S47" s="308"/>
      <c r="T47" s="477"/>
      <c r="U47" s="302"/>
      <c r="V47" s="242" t="str">
        <f>IFERROR(IF(D47="tonnes/yr", $S47*$E47/($N$9*3.6), $T47*$E47*3.6/($N$9*3.6)), "Unfilled fields to left")</f>
        <v>Unfilled fields to left</v>
      </c>
      <c r="X47" s="65"/>
    </row>
    <row r="48" spans="2:25" s="14" customFormat="1">
      <c r="B48" s="64"/>
      <c r="C48" s="15"/>
      <c r="D48" s="179"/>
      <c r="E48" s="35"/>
      <c r="F48" s="21"/>
      <c r="G48" s="21"/>
      <c r="H48" s="21"/>
      <c r="I48" s="21"/>
      <c r="J48" s="306"/>
      <c r="K48" s="306"/>
      <c r="L48" s="306"/>
      <c r="M48" s="306"/>
      <c r="N48" s="242">
        <f>IF($D48="MWh/yr (LHV)",$E48,$J48*$E48*(1-$L48)/Conversion_kWh_to_MJ)</f>
        <v>0</v>
      </c>
      <c r="O48" s="19"/>
      <c r="P48" s="19"/>
      <c r="Q48" s="19"/>
      <c r="R48" s="19"/>
      <c r="S48" s="308"/>
      <c r="T48" s="477"/>
      <c r="U48" s="302"/>
      <c r="V48" s="242" t="str">
        <f>IFERROR(IF(D48="tonnes/yr", $S48*$E48/($N$9*3.6), $T48*$E48*3.6/($N$9*3.6)), "Unfilled fields to left")</f>
        <v>Unfilled fields to left</v>
      </c>
      <c r="X48" s="65"/>
    </row>
    <row r="49" spans="2:25" s="14" customFormat="1">
      <c r="B49" s="64"/>
      <c r="C49" s="15"/>
      <c r="D49" s="179"/>
      <c r="E49" s="35"/>
      <c r="F49" s="21"/>
      <c r="G49" s="21"/>
      <c r="H49" s="21"/>
      <c r="I49" s="21"/>
      <c r="J49" s="306"/>
      <c r="K49" s="306"/>
      <c r="L49" s="306"/>
      <c r="M49" s="306"/>
      <c r="N49" s="242">
        <f>IF($D49="MWh/yr (LHV)",$E49,$J49*$E49*(1-$L49)/Conversion_kWh_to_MJ)</f>
        <v>0</v>
      </c>
      <c r="O49" s="19"/>
      <c r="P49" s="19"/>
      <c r="Q49" s="19"/>
      <c r="R49" s="19"/>
      <c r="S49" s="308"/>
      <c r="T49" s="477"/>
      <c r="U49" s="302"/>
      <c r="V49" s="242" t="str">
        <f>IFERROR(IF(D49="tonnes/yr", $S49*$E49/($N$9*3.6), $T49*$E49*3.6/($N$9*3.6)), "Unfilled fields to left")</f>
        <v>Unfilled fields to left</v>
      </c>
      <c r="X49" s="65"/>
    </row>
    <row r="50" spans="2:25">
      <c r="B50" s="14"/>
      <c r="C50" s="83"/>
      <c r="D50" s="83"/>
      <c r="E50" s="498"/>
      <c r="F50" s="84"/>
      <c r="G50" s="85"/>
      <c r="H50" s="86"/>
      <c r="I50" s="86"/>
      <c r="J50" s="87"/>
      <c r="K50" s="87"/>
      <c r="L50" s="142"/>
      <c r="M50" s="142"/>
      <c r="N50" s="73"/>
      <c r="O50" s="19"/>
      <c r="P50" s="19"/>
      <c r="Q50" s="19"/>
      <c r="R50" s="19"/>
      <c r="S50" s="87"/>
      <c r="T50" s="87"/>
      <c r="U50" s="87"/>
      <c r="V50" s="87"/>
      <c r="X50" s="248"/>
      <c r="Y50" s="19"/>
    </row>
    <row r="51" spans="2:25">
      <c r="B51" s="145" t="s">
        <v>1139</v>
      </c>
      <c r="C51" s="252"/>
      <c r="D51" s="252"/>
      <c r="E51" s="510"/>
      <c r="F51" s="251"/>
      <c r="G51" s="251"/>
      <c r="H51" s="250"/>
      <c r="I51" s="249"/>
      <c r="J51" s="487"/>
      <c r="K51" s="488"/>
      <c r="L51" s="476"/>
      <c r="M51" s="476"/>
      <c r="N51" s="476"/>
      <c r="O51" s="158"/>
      <c r="P51" s="158"/>
      <c r="Q51" s="158"/>
      <c r="R51" s="158"/>
      <c r="S51" s="487"/>
      <c r="T51" s="488"/>
      <c r="U51" s="488"/>
      <c r="V51" s="153">
        <f>SUM(V52:V58)</f>
        <v>0</v>
      </c>
      <c r="X51" s="253"/>
      <c r="Y51" s="19"/>
    </row>
    <row r="52" spans="2:25" s="14" customFormat="1">
      <c r="B52" s="186" t="s">
        <v>1021</v>
      </c>
      <c r="C52" s="184" t="s">
        <v>1061</v>
      </c>
      <c r="D52" s="179" t="s">
        <v>479</v>
      </c>
      <c r="E52" s="35"/>
      <c r="F52" s="24"/>
      <c r="G52" s="24"/>
      <c r="H52" s="24"/>
      <c r="I52" s="318"/>
      <c r="J52" s="300"/>
      <c r="K52" s="300"/>
      <c r="L52" s="306"/>
      <c r="M52" s="306"/>
      <c r="N52" s="242">
        <f t="shared" ref="N52:N57" si="8">IF($D52="MWh/yr (LHV)",$E52,$J52*$E52*(1-$L52)/Conversion_kWh_to_MJ)</f>
        <v>0</v>
      </c>
      <c r="O52" s="19"/>
      <c r="P52" s="19"/>
      <c r="Q52" s="19"/>
      <c r="R52" s="19"/>
      <c r="S52" s="300" t="str">
        <f t="shared" ref="S52:S57" si="9">IF(B52="", "", IF(D52="MWh/yr (LHV)", "Use column to right", "Enter data here"))</f>
        <v>Use column to right</v>
      </c>
      <c r="T52" s="300" t="e">
        <f>Initial_questions!$E$43*1/Conversion_kWh_to_MJ</f>
        <v>#VALUE!</v>
      </c>
      <c r="U52" s="35" t="s">
        <v>1062</v>
      </c>
      <c r="V52" s="242" t="str">
        <f t="shared" ref="V52:V57" si="10">IFERROR(IF(D52="tonnes/yr", $S52*$E52/($N$9*3.6), $T52*$E52*3.6/($N$9*3.6)), "Unfilled fields to left")</f>
        <v>Unfilled fields to left</v>
      </c>
      <c r="X52" s="21"/>
    </row>
    <row r="53" spans="2:25" s="14" customFormat="1">
      <c r="B53" s="186" t="s">
        <v>1021</v>
      </c>
      <c r="C53" s="184" t="s">
        <v>1063</v>
      </c>
      <c r="D53" s="179" t="s">
        <v>479</v>
      </c>
      <c r="E53" s="35"/>
      <c r="F53" s="24"/>
      <c r="G53" s="24"/>
      <c r="H53" s="24"/>
      <c r="I53" s="24"/>
      <c r="J53" s="300"/>
      <c r="K53" s="300"/>
      <c r="L53" s="306"/>
      <c r="M53" s="306"/>
      <c r="N53" s="242">
        <f t="shared" si="8"/>
        <v>0</v>
      </c>
      <c r="O53" s="19"/>
      <c r="P53" s="19"/>
      <c r="Q53" s="19"/>
      <c r="R53" s="19"/>
      <c r="S53" s="300" t="str">
        <f t="shared" si="9"/>
        <v>Use column to right</v>
      </c>
      <c r="T53" s="300" t="e">
        <f>INDEX(Proj_grid_intensity_kWh,MATCH(Operations_year,Proj_grid_year,0))/Conversion_kWh_to_MJ</f>
        <v>#N/A</v>
      </c>
      <c r="U53" s="35" t="s">
        <v>1064</v>
      </c>
      <c r="V53" s="242" t="str">
        <f t="shared" si="10"/>
        <v>Unfilled fields to left</v>
      </c>
      <c r="X53" s="65"/>
    </row>
    <row r="54" spans="2:25" s="14" customFormat="1">
      <c r="B54" s="186" t="s">
        <v>1021</v>
      </c>
      <c r="C54" s="184" t="s">
        <v>1065</v>
      </c>
      <c r="D54" s="179" t="s">
        <v>459</v>
      </c>
      <c r="E54" s="35"/>
      <c r="F54" s="24"/>
      <c r="G54" s="24"/>
      <c r="H54" s="24"/>
      <c r="I54" s="24"/>
      <c r="J54" s="300"/>
      <c r="K54" s="300"/>
      <c r="L54" s="306"/>
      <c r="M54" s="306"/>
      <c r="N54" s="242">
        <f t="shared" si="8"/>
        <v>0</v>
      </c>
      <c r="O54" s="19"/>
      <c r="P54" s="19"/>
      <c r="Q54" s="19"/>
      <c r="R54" s="19"/>
      <c r="S54" s="300" t="str">
        <f t="shared" si="9"/>
        <v>Enter data here</v>
      </c>
      <c r="T54" s="300" t="str">
        <f>IF(B54="", "", IF(D54="MWh/yr (LHV)", "Enter data here", "Use column to left"))</f>
        <v>Use column to left</v>
      </c>
      <c r="U54" s="35" t="s">
        <v>1066</v>
      </c>
      <c r="V54" s="242" t="str">
        <f t="shared" si="10"/>
        <v>Unfilled fields to left</v>
      </c>
      <c r="X54" s="65"/>
    </row>
    <row r="55" spans="2:25">
      <c r="B55" s="186" t="s">
        <v>1021</v>
      </c>
      <c r="C55" s="184" t="s">
        <v>1067</v>
      </c>
      <c r="D55" s="179" t="s">
        <v>459</v>
      </c>
      <c r="E55" s="35"/>
      <c r="F55" s="21"/>
      <c r="G55" s="21"/>
      <c r="H55" s="21"/>
      <c r="I55" s="21"/>
      <c r="J55" s="306"/>
      <c r="K55" s="306"/>
      <c r="L55" s="306"/>
      <c r="M55" s="306"/>
      <c r="N55" s="242">
        <f t="shared" si="8"/>
        <v>0</v>
      </c>
      <c r="O55" s="12"/>
      <c r="S55" s="300" t="str">
        <f t="shared" si="9"/>
        <v>Enter data here</v>
      </c>
      <c r="T55" s="300" t="str">
        <f>IF(B55="", "", IF(D55="MWh/yr (LHV)", "Enter data here", "Use column to left"))</f>
        <v>Use column to left</v>
      </c>
      <c r="U55" s="35" t="s">
        <v>1066</v>
      </c>
      <c r="V55" s="242" t="str">
        <f t="shared" si="10"/>
        <v>Unfilled fields to left</v>
      </c>
      <c r="X55" s="21"/>
      <c r="Y55" s="19"/>
    </row>
    <row r="56" spans="2:25">
      <c r="B56" s="186" t="s">
        <v>1021</v>
      </c>
      <c r="C56" s="184" t="s">
        <v>1068</v>
      </c>
      <c r="D56" s="179" t="s">
        <v>479</v>
      </c>
      <c r="E56" s="35"/>
      <c r="F56" s="21"/>
      <c r="G56" s="21"/>
      <c r="H56" s="21"/>
      <c r="I56" s="21"/>
      <c r="J56" s="306"/>
      <c r="K56" s="306"/>
      <c r="L56" s="306"/>
      <c r="M56" s="306"/>
      <c r="N56" s="242">
        <f t="shared" si="8"/>
        <v>0</v>
      </c>
      <c r="O56" s="12"/>
      <c r="S56" s="300" t="str">
        <f t="shared" si="9"/>
        <v>Use column to right</v>
      </c>
      <c r="T56" s="300" t="e">
        <f>INDEX(Proj_grid_intensity_kWh,MATCH(Operations_year,Proj_grid_year,0))/Conversion_kWh_to_MJ</f>
        <v>#N/A</v>
      </c>
      <c r="U56" s="35" t="s">
        <v>1064</v>
      </c>
      <c r="V56" s="242" t="str">
        <f t="shared" ref="V56" si="11">IFERROR(IF(D56="tonnes/yr", $S56*$E56/($N$9*3.6), $T56*$E56*3.6/($N$9*3.6)), "Unfilled fields to left")</f>
        <v>Unfilled fields to left</v>
      </c>
      <c r="X56" s="21"/>
      <c r="Y56" s="19"/>
    </row>
    <row r="57" spans="2:25">
      <c r="B57" s="186"/>
      <c r="C57" s="184"/>
      <c r="D57" s="179"/>
      <c r="E57" s="35"/>
      <c r="F57" s="21"/>
      <c r="G57" s="21"/>
      <c r="H57" s="21"/>
      <c r="I57" s="21"/>
      <c r="J57" s="306"/>
      <c r="K57" s="306"/>
      <c r="L57" s="306"/>
      <c r="M57" s="306"/>
      <c r="N57" s="242">
        <f t="shared" si="8"/>
        <v>0</v>
      </c>
      <c r="O57" s="12"/>
      <c r="S57" s="300" t="str">
        <f t="shared" si="9"/>
        <v/>
      </c>
      <c r="T57" s="300"/>
      <c r="U57" s="35"/>
      <c r="V57" s="242" t="str">
        <f t="shared" si="10"/>
        <v>Unfilled fields to left</v>
      </c>
      <c r="X57" s="21"/>
      <c r="Y57" s="19"/>
    </row>
    <row r="58" spans="2:25">
      <c r="B58" s="14"/>
      <c r="C58" s="83"/>
      <c r="D58" s="83"/>
      <c r="E58" s="498"/>
      <c r="F58" s="84"/>
      <c r="G58" s="85"/>
      <c r="H58" s="86"/>
      <c r="I58" s="86"/>
      <c r="J58" s="87"/>
      <c r="K58" s="87"/>
      <c r="L58" s="142"/>
      <c r="M58" s="142"/>
      <c r="N58" s="73"/>
      <c r="O58" s="19"/>
      <c r="P58" s="19"/>
      <c r="Q58" s="19"/>
      <c r="R58" s="19"/>
      <c r="S58" s="87"/>
      <c r="T58" s="87"/>
      <c r="U58" s="87"/>
      <c r="V58" s="87"/>
      <c r="X58" s="248"/>
      <c r="Y58" s="19"/>
    </row>
    <row r="59" spans="2:25">
      <c r="B59" s="145" t="s">
        <v>1140</v>
      </c>
      <c r="C59" s="252"/>
      <c r="D59" s="252"/>
      <c r="E59" s="510"/>
      <c r="F59" s="251"/>
      <c r="G59" s="251"/>
      <c r="H59" s="250"/>
      <c r="I59" s="249"/>
      <c r="J59" s="487"/>
      <c r="K59" s="488"/>
      <c r="L59" s="476"/>
      <c r="M59" s="476"/>
      <c r="N59" s="476"/>
      <c r="O59" s="158"/>
      <c r="P59" s="158"/>
      <c r="Q59" s="158"/>
      <c r="R59" s="158"/>
      <c r="S59" s="487"/>
      <c r="T59" s="488"/>
      <c r="U59" s="488"/>
      <c r="V59" s="153">
        <f>SUM(V60:V67)</f>
        <v>0</v>
      </c>
      <c r="X59" s="253"/>
      <c r="Y59" s="19"/>
    </row>
    <row r="60" spans="2:25" s="14" customFormat="1">
      <c r="B60" s="186" t="s">
        <v>1021</v>
      </c>
      <c r="C60" s="184" t="s">
        <v>1141</v>
      </c>
      <c r="D60" s="179" t="s">
        <v>479</v>
      </c>
      <c r="E60" s="35"/>
      <c r="F60" s="24"/>
      <c r="G60" s="24"/>
      <c r="H60" s="24"/>
      <c r="I60" s="318"/>
      <c r="J60" s="300"/>
      <c r="K60" s="300"/>
      <c r="L60" s="306"/>
      <c r="M60" s="306"/>
      <c r="N60" s="242">
        <f t="shared" ref="N60:N67" si="12">IF($D60="MWh/yr (LHV)",$E60,$J60*$E60*(1-$L60)/Conversion_kWh_to_MJ)</f>
        <v>0</v>
      </c>
      <c r="O60" s="19"/>
      <c r="P60" s="19"/>
      <c r="Q60" s="19"/>
      <c r="R60" s="19"/>
      <c r="S60" s="300" t="str">
        <f t="shared" ref="S60:S66" si="13">IF(B60="", "", IF(D60="MWh/yr (LHV)", "Use column to right", "Enter data here"))</f>
        <v>Use column to right</v>
      </c>
      <c r="T60" s="300" t="e">
        <f>Initial_questions!$E$43*1/Conversion_kWh_to_MJ</f>
        <v>#VALUE!</v>
      </c>
      <c r="U60" s="35" t="s">
        <v>1062</v>
      </c>
      <c r="V60" s="242" t="str">
        <f t="shared" ref="V60:V67" si="14">IFERROR(IF(D60="tonnes/yr", $S60*$E60/($N$9*3.6), $T60*$E60*3.6/($N$9*3.6)), "Unfilled fields to left")</f>
        <v>Unfilled fields to left</v>
      </c>
      <c r="X60" s="21"/>
    </row>
    <row r="61" spans="2:25" s="14" customFormat="1">
      <c r="B61" s="186" t="s">
        <v>1021</v>
      </c>
      <c r="C61" s="184" t="s">
        <v>1142</v>
      </c>
      <c r="D61" s="179" t="s">
        <v>479</v>
      </c>
      <c r="E61" s="35"/>
      <c r="F61" s="24"/>
      <c r="G61" s="24"/>
      <c r="H61" s="24"/>
      <c r="I61" s="24"/>
      <c r="J61" s="300"/>
      <c r="K61" s="300"/>
      <c r="L61" s="306"/>
      <c r="M61" s="306"/>
      <c r="N61" s="242">
        <f t="shared" si="12"/>
        <v>0</v>
      </c>
      <c r="O61" s="19"/>
      <c r="P61" s="19"/>
      <c r="Q61" s="19"/>
      <c r="R61" s="19"/>
      <c r="S61" s="300" t="str">
        <f t="shared" si="13"/>
        <v>Use column to right</v>
      </c>
      <c r="T61" s="300" t="e">
        <f>INDEX(Proj_grid_intensity_kWh,MATCH(Operations_year,Proj_grid_year,0))/Conversion_kWh_to_MJ</f>
        <v>#N/A</v>
      </c>
      <c r="U61" s="35" t="s">
        <v>1064</v>
      </c>
      <c r="V61" s="242" t="str">
        <f t="shared" si="14"/>
        <v>Unfilled fields to left</v>
      </c>
      <c r="X61" s="65"/>
    </row>
    <row r="62" spans="2:25" s="14" customFormat="1">
      <c r="B62" s="186" t="s">
        <v>1021</v>
      </c>
      <c r="C62" s="184" t="s">
        <v>1143</v>
      </c>
      <c r="D62" s="179" t="s">
        <v>459</v>
      </c>
      <c r="E62" s="35"/>
      <c r="F62" s="24"/>
      <c r="G62" s="24"/>
      <c r="H62" s="24"/>
      <c r="I62" s="24"/>
      <c r="J62" s="300"/>
      <c r="K62" s="300"/>
      <c r="L62" s="306"/>
      <c r="M62" s="306"/>
      <c r="N62" s="242">
        <f t="shared" si="12"/>
        <v>0</v>
      </c>
      <c r="O62" s="19"/>
      <c r="P62" s="19"/>
      <c r="Q62" s="19"/>
      <c r="R62" s="19"/>
      <c r="S62" s="300" t="str">
        <f t="shared" si="13"/>
        <v>Enter data here</v>
      </c>
      <c r="T62" s="300" t="str">
        <f>IF(B62="", "", IF(D62="MWh/yr (LHV)", "Enter data here", "Use column to left"))</f>
        <v>Use column to left</v>
      </c>
      <c r="U62" s="35" t="s">
        <v>1066</v>
      </c>
      <c r="V62" s="242" t="str">
        <f t="shared" si="14"/>
        <v>Unfilled fields to left</v>
      </c>
      <c r="X62" s="65"/>
    </row>
    <row r="63" spans="2:25">
      <c r="B63" s="186" t="s">
        <v>1021</v>
      </c>
      <c r="C63" s="184" t="s">
        <v>1144</v>
      </c>
      <c r="D63" s="179" t="s">
        <v>459</v>
      </c>
      <c r="E63" s="35"/>
      <c r="F63" s="21"/>
      <c r="G63" s="21"/>
      <c r="H63" s="21"/>
      <c r="I63" s="21"/>
      <c r="J63" s="306"/>
      <c r="K63" s="306"/>
      <c r="L63" s="306"/>
      <c r="M63" s="306"/>
      <c r="N63" s="242">
        <f t="shared" si="12"/>
        <v>0</v>
      </c>
      <c r="O63" s="12"/>
      <c r="S63" s="300" t="str">
        <f t="shared" si="13"/>
        <v>Enter data here</v>
      </c>
      <c r="T63" s="300" t="str">
        <f>IF(B63="", "", IF(D63="MWh/yr (LHV)", "Enter data here", "Use column to left"))</f>
        <v>Use column to left</v>
      </c>
      <c r="U63" s="35" t="s">
        <v>1066</v>
      </c>
      <c r="V63" s="242" t="str">
        <f t="shared" si="14"/>
        <v>Unfilled fields to left</v>
      </c>
      <c r="X63" s="21"/>
      <c r="Y63" s="19"/>
    </row>
    <row r="64" spans="2:25">
      <c r="B64" s="186" t="s">
        <v>1021</v>
      </c>
      <c r="C64" s="184" t="s">
        <v>1145</v>
      </c>
      <c r="D64" s="179" t="s">
        <v>479</v>
      </c>
      <c r="E64" s="35"/>
      <c r="F64" s="21"/>
      <c r="G64" s="21"/>
      <c r="H64" s="21"/>
      <c r="I64" s="21"/>
      <c r="J64" s="306"/>
      <c r="K64" s="306"/>
      <c r="L64" s="306"/>
      <c r="M64" s="306"/>
      <c r="N64" s="242">
        <f t="shared" si="12"/>
        <v>0</v>
      </c>
      <c r="O64" s="12"/>
      <c r="S64" s="300" t="str">
        <f t="shared" si="13"/>
        <v>Use column to right</v>
      </c>
      <c r="T64" s="300" t="e">
        <f>INDEX(Proj_grid_intensity_kWh,MATCH(Operations_year,Proj_grid_year,0))/Conversion_kWh_to_MJ</f>
        <v>#N/A</v>
      </c>
      <c r="U64" s="35" t="s">
        <v>1064</v>
      </c>
      <c r="V64" s="242" t="str">
        <f t="shared" si="14"/>
        <v>Unfilled fields to left</v>
      </c>
      <c r="X64" s="21"/>
      <c r="Y64" s="19"/>
    </row>
    <row r="65" spans="2:25">
      <c r="B65" s="186" t="s">
        <v>1021</v>
      </c>
      <c r="C65" s="184" t="s">
        <v>1146</v>
      </c>
      <c r="D65" s="179" t="s">
        <v>479</v>
      </c>
      <c r="E65" s="35"/>
      <c r="F65" s="21"/>
      <c r="G65" s="21"/>
      <c r="H65" s="21"/>
      <c r="I65" s="21"/>
      <c r="J65" s="306"/>
      <c r="K65" s="306"/>
      <c r="L65" s="306"/>
      <c r="M65" s="306"/>
      <c r="N65" s="242">
        <f t="shared" si="12"/>
        <v>0</v>
      </c>
      <c r="O65" s="12"/>
      <c r="S65" s="300" t="str">
        <f t="shared" si="13"/>
        <v>Use column to right</v>
      </c>
      <c r="T65" s="300" t="e">
        <f>INDEX(Proj_grid_intensity_kWh,MATCH(Operations_year,Proj_grid_year,0))/Conversion_kWh_to_MJ</f>
        <v>#N/A</v>
      </c>
      <c r="U65" s="35" t="s">
        <v>1064</v>
      </c>
      <c r="V65" s="242" t="str">
        <f t="shared" ref="V65" si="15">IFERROR(IF(D65="tonnes/yr", $S65*$E65/($N$9*3.6), $T65*$E65*3.6/($N$9*3.6)), "Unfilled fields to left")</f>
        <v>Unfilled fields to left</v>
      </c>
      <c r="X65" s="21"/>
      <c r="Y65" s="19"/>
    </row>
    <row r="66" spans="2:25">
      <c r="B66" s="186" t="s">
        <v>1021</v>
      </c>
      <c r="C66" s="184" t="s">
        <v>1147</v>
      </c>
      <c r="D66" s="179" t="s">
        <v>479</v>
      </c>
      <c r="E66" s="35"/>
      <c r="F66" s="21"/>
      <c r="G66" s="21"/>
      <c r="H66" s="21"/>
      <c r="I66" s="21"/>
      <c r="J66" s="306"/>
      <c r="K66" s="306"/>
      <c r="L66" s="306"/>
      <c r="M66" s="306"/>
      <c r="N66" s="242">
        <f t="shared" si="12"/>
        <v>0</v>
      </c>
      <c r="O66" s="12"/>
      <c r="S66" s="300" t="str">
        <f t="shared" si="13"/>
        <v>Use column to right</v>
      </c>
      <c r="T66" s="300" t="e">
        <f>INDEX(Proj_grid_intensity_kWh,MATCH(Operations_year,Proj_grid_year,0))/Conversion_kWh_to_MJ</f>
        <v>#N/A</v>
      </c>
      <c r="U66" s="35" t="s">
        <v>1064</v>
      </c>
      <c r="V66" s="242" t="str">
        <f t="shared" si="14"/>
        <v>Unfilled fields to left</v>
      </c>
      <c r="X66" s="21"/>
      <c r="Y66" s="19"/>
    </row>
    <row r="67" spans="2:25">
      <c r="B67" s="16"/>
      <c r="C67" s="15"/>
      <c r="D67" s="179"/>
      <c r="E67" s="35"/>
      <c r="F67" s="21"/>
      <c r="G67" s="21"/>
      <c r="H67" s="21"/>
      <c r="I67" s="21"/>
      <c r="J67" s="306"/>
      <c r="K67" s="306"/>
      <c r="L67" s="306"/>
      <c r="M67" s="306"/>
      <c r="N67" s="242">
        <f t="shared" si="12"/>
        <v>0</v>
      </c>
      <c r="O67" s="12"/>
      <c r="S67" s="302"/>
      <c r="T67" s="302"/>
      <c r="U67" s="302"/>
      <c r="V67" s="242" t="str">
        <f t="shared" si="14"/>
        <v>Unfilled fields to left</v>
      </c>
      <c r="X67" s="21"/>
      <c r="Y67" s="19"/>
    </row>
    <row r="68" spans="2:25" s="14" customFormat="1">
      <c r="B68" s="78"/>
      <c r="C68" s="262"/>
      <c r="D68" s="262"/>
      <c r="E68" s="496"/>
      <c r="F68" s="79"/>
      <c r="G68" s="79"/>
      <c r="H68" s="260"/>
      <c r="I68" s="260"/>
      <c r="J68" s="254"/>
      <c r="K68" s="254"/>
      <c r="L68" s="73"/>
      <c r="M68" s="73"/>
      <c r="N68" s="73"/>
      <c r="O68" s="12"/>
      <c r="P68" s="12"/>
      <c r="Q68" s="12"/>
      <c r="R68" s="12"/>
      <c r="S68" s="254"/>
      <c r="T68" s="254"/>
      <c r="U68" s="254"/>
      <c r="V68" s="254"/>
      <c r="X68" s="79"/>
    </row>
    <row r="69" spans="2:25" s="14" customFormat="1" ht="16.5">
      <c r="B69" s="145" t="s">
        <v>1069</v>
      </c>
      <c r="C69" s="159"/>
      <c r="D69" s="159"/>
      <c r="E69" s="499"/>
      <c r="F69" s="160"/>
      <c r="G69" s="161"/>
      <c r="H69" s="160"/>
      <c r="I69" s="160"/>
      <c r="J69" s="307"/>
      <c r="K69" s="307"/>
      <c r="L69" s="476"/>
      <c r="M69" s="476"/>
      <c r="N69" s="476"/>
      <c r="O69" s="158"/>
      <c r="P69" s="158"/>
      <c r="Q69" s="158"/>
      <c r="R69" s="158"/>
      <c r="S69" s="307"/>
      <c r="T69" s="307"/>
      <c r="U69" s="307"/>
      <c r="V69" s="153">
        <f>SUM(V70:V74)</f>
        <v>0</v>
      </c>
      <c r="X69" s="79"/>
    </row>
    <row r="70" spans="2:25" s="14" customFormat="1">
      <c r="B70" s="186" t="s">
        <v>1070</v>
      </c>
      <c r="C70" s="184" t="s">
        <v>1071</v>
      </c>
      <c r="D70" s="179" t="s">
        <v>459</v>
      </c>
      <c r="E70" s="35">
        <f>E45*E96</f>
        <v>0</v>
      </c>
      <c r="F70" s="318"/>
      <c r="G70" s="318"/>
      <c r="H70" s="318"/>
      <c r="I70" s="318"/>
      <c r="J70" s="495"/>
      <c r="K70" s="35"/>
      <c r="L70" s="306"/>
      <c r="M70" s="306"/>
      <c r="N70" s="242">
        <f>IF($D70="MWh/yr (LHV)",$E70,$J70*$E70*(1-$L70)/Conversion_kWh_to_MJ)</f>
        <v>0</v>
      </c>
      <c r="O70" s="12"/>
      <c r="P70" s="12"/>
      <c r="Q70" s="12"/>
      <c r="R70" s="12"/>
      <c r="S70" s="300">
        <v>-1000</v>
      </c>
      <c r="T70" s="477"/>
      <c r="U70" s="35" t="s">
        <v>1134</v>
      </c>
      <c r="V70" s="242" t="str">
        <f>IFERROR(IF(D70="tonnes/yr", $S70*$E70/($N$9*3.6), $T70*$E70*3.6/($N$9*3.6)), "Unfilled fields to left")</f>
        <v>Unfilled fields to left</v>
      </c>
      <c r="X70" s="21"/>
    </row>
    <row r="71" spans="2:25" s="14" customFormat="1">
      <c r="B71" s="186"/>
      <c r="C71" s="184"/>
      <c r="D71" s="179"/>
      <c r="E71" s="35"/>
      <c r="F71" s="63"/>
      <c r="G71" s="63"/>
      <c r="H71" s="63"/>
      <c r="I71" s="63"/>
      <c r="J71" s="304"/>
      <c r="K71" s="306"/>
      <c r="L71" s="306"/>
      <c r="M71" s="306"/>
      <c r="N71" s="242">
        <f>IF($D71="MWh/yr (LHV)",$E71,$J71*$E71*(1-$L71)/Conversion_kWh_to_MJ)</f>
        <v>0</v>
      </c>
      <c r="O71" s="19"/>
      <c r="P71" s="19"/>
      <c r="Q71" s="19"/>
      <c r="R71" s="19"/>
      <c r="S71" s="300"/>
      <c r="T71" s="477"/>
      <c r="U71" s="35"/>
      <c r="V71" s="242" t="str">
        <f>IFERROR(IF(D71="tonnes/yr", $S71*$E71/($N$9*3.6), $T71*$E71*3.6/($N$9*3.6)), "Unfilled fields to left")</f>
        <v>Unfilled fields to left</v>
      </c>
      <c r="X71" s="21"/>
    </row>
    <row r="72" spans="2:25" s="14" customFormat="1">
      <c r="B72" s="64"/>
      <c r="C72" s="15"/>
      <c r="D72" s="179"/>
      <c r="E72" s="35"/>
      <c r="F72" s="21"/>
      <c r="G72" s="21"/>
      <c r="H72" s="63"/>
      <c r="I72" s="63"/>
      <c r="J72" s="304"/>
      <c r="K72" s="306"/>
      <c r="L72" s="306"/>
      <c r="M72" s="306"/>
      <c r="N72" s="242">
        <f>IF($D72="MWh/yr (LHV)",$E72,$J72*$E72*(1-$L72)/Conversion_kWh_to_MJ)</f>
        <v>0</v>
      </c>
      <c r="O72" s="19"/>
      <c r="P72" s="19"/>
      <c r="Q72" s="19"/>
      <c r="R72" s="19"/>
      <c r="S72" s="308"/>
      <c r="T72" s="477"/>
      <c r="U72" s="302"/>
      <c r="V72" s="242" t="str">
        <f>IFERROR(IF(D72="tonnes/yr", $S72*$E72/($N$9*3.6), $T72*$E72*3.6/($N$9*3.6)), "Unfilled fields to left")</f>
        <v>Unfilled fields to left</v>
      </c>
      <c r="X72" s="65"/>
    </row>
    <row r="73" spans="2:25" s="14" customFormat="1">
      <c r="B73" s="64"/>
      <c r="C73" s="15"/>
      <c r="D73" s="179"/>
      <c r="E73" s="35"/>
      <c r="F73" s="21"/>
      <c r="G73" s="21"/>
      <c r="H73" s="21"/>
      <c r="I73" s="21"/>
      <c r="J73" s="306"/>
      <c r="K73" s="306"/>
      <c r="L73" s="306"/>
      <c r="M73" s="306"/>
      <c r="N73" s="242">
        <f>IF($D73="MWh/yr (LHV)",$E73,$J73*$E73*(1-$L73)/Conversion_kWh_to_MJ)</f>
        <v>0</v>
      </c>
      <c r="O73" s="19"/>
      <c r="P73" s="19"/>
      <c r="Q73" s="19"/>
      <c r="R73" s="19"/>
      <c r="S73" s="308"/>
      <c r="T73" s="477"/>
      <c r="U73" s="302"/>
      <c r="V73" s="242" t="str">
        <f>IFERROR(IF(D73="tonnes/yr", $S73*$E73/($N$9*3.6), $T73*$E73*3.6/($N$9*3.6)), "Unfilled fields to left")</f>
        <v>Unfilled fields to left</v>
      </c>
      <c r="X73" s="65"/>
    </row>
    <row r="74" spans="2:25" s="14" customFormat="1">
      <c r="B74" s="64"/>
      <c r="C74" s="15"/>
      <c r="D74" s="179"/>
      <c r="E74" s="35"/>
      <c r="F74" s="21"/>
      <c r="G74" s="21"/>
      <c r="H74" s="21"/>
      <c r="I74" s="21"/>
      <c r="J74" s="306"/>
      <c r="K74" s="306"/>
      <c r="L74" s="306"/>
      <c r="M74" s="306"/>
      <c r="N74" s="242">
        <f>IF($D74="MWh/yr (LHV)",$E74,$J74*$E74*(1-$L74)/Conversion_kWh_to_MJ)</f>
        <v>0</v>
      </c>
      <c r="O74" s="19"/>
      <c r="P74" s="19"/>
      <c r="Q74" s="19"/>
      <c r="R74" s="19"/>
      <c r="S74" s="308"/>
      <c r="T74" s="477"/>
      <c r="U74" s="302"/>
      <c r="V74" s="242" t="str">
        <f>IFERROR(IF(D74="tonnes/yr", $S74*$E74/($N$9*3.6), $T74*$E74*3.6/($N$9*3.6)), "Unfilled fields to left")</f>
        <v>Unfilled fields to left</v>
      </c>
      <c r="X74" s="65"/>
    </row>
    <row r="75" spans="2:25" s="14" customFormat="1">
      <c r="B75" s="78"/>
      <c r="C75" s="262"/>
      <c r="D75" s="262"/>
      <c r="E75" s="496"/>
      <c r="F75" s="79"/>
      <c r="G75" s="79"/>
      <c r="H75" s="260"/>
      <c r="I75" s="260"/>
      <c r="J75" s="254"/>
      <c r="K75" s="254"/>
      <c r="L75" s="73"/>
      <c r="M75" s="73"/>
      <c r="N75" s="73"/>
      <c r="O75" s="12"/>
      <c r="P75" s="12"/>
      <c r="Q75" s="12"/>
      <c r="R75" s="12"/>
      <c r="S75" s="254"/>
      <c r="T75" s="254"/>
      <c r="U75" s="254"/>
      <c r="V75" s="254"/>
      <c r="X75" s="79"/>
    </row>
    <row r="76" spans="2:25" s="14" customFormat="1">
      <c r="B76" s="145" t="s">
        <v>947</v>
      </c>
      <c r="C76" s="159"/>
      <c r="D76" s="159"/>
      <c r="E76" s="499"/>
      <c r="F76" s="160"/>
      <c r="G76" s="161"/>
      <c r="H76" s="160"/>
      <c r="I76" s="160"/>
      <c r="J76" s="307"/>
      <c r="K76" s="307"/>
      <c r="L76" s="476"/>
      <c r="M76" s="476"/>
      <c r="N76" s="476"/>
      <c r="O76" s="158"/>
      <c r="P76" s="158"/>
      <c r="Q76" s="158"/>
      <c r="R76" s="158"/>
      <c r="S76" s="307"/>
      <c r="T76" s="307"/>
      <c r="U76" s="307"/>
      <c r="V76" s="153">
        <f>SUM(V77:V81)</f>
        <v>0</v>
      </c>
      <c r="X76" s="79"/>
    </row>
    <row r="77" spans="2:25" s="14" customFormat="1">
      <c r="B77" s="186" t="s">
        <v>1148</v>
      </c>
      <c r="C77" s="184" t="s">
        <v>1149</v>
      </c>
      <c r="D77" s="179" t="s">
        <v>459</v>
      </c>
      <c r="E77" s="35"/>
      <c r="F77" s="318"/>
      <c r="G77" s="318"/>
      <c r="H77" s="318"/>
      <c r="I77" s="318"/>
      <c r="J77" s="495"/>
      <c r="K77" s="35"/>
      <c r="L77" s="306"/>
      <c r="M77" s="306"/>
      <c r="N77" s="242">
        <f>IF($D77="MWh/yr (LHV)",$E77,$J77*$E77*(1-$L77)/Conversion_kWh_to_MJ)</f>
        <v>0</v>
      </c>
      <c r="O77" s="12"/>
      <c r="P77" s="12"/>
      <c r="Q77" s="12"/>
      <c r="R77" s="12"/>
      <c r="S77" s="300">
        <v>0</v>
      </c>
      <c r="T77" s="477"/>
      <c r="U77" s="35" t="s">
        <v>1150</v>
      </c>
      <c r="V77" s="242" t="str">
        <f>IFERROR(IF(D77="tonnes/yr", $S77*$E77/($N$9*3.6), $T77*$E77*3.6/($N$9*3.6)), "Unfilled fields to left")</f>
        <v>Unfilled fields to left</v>
      </c>
      <c r="X77" s="21"/>
    </row>
    <row r="78" spans="2:25" s="14" customFormat="1">
      <c r="B78" s="186" t="s">
        <v>1148</v>
      </c>
      <c r="C78" s="184" t="s">
        <v>1151</v>
      </c>
      <c r="D78" s="179" t="s">
        <v>459</v>
      </c>
      <c r="E78" s="35"/>
      <c r="F78" s="63"/>
      <c r="G78" s="63"/>
      <c r="H78" s="63"/>
      <c r="I78" s="63"/>
      <c r="J78" s="304"/>
      <c r="K78" s="306"/>
      <c r="L78" s="306"/>
      <c r="M78" s="306"/>
      <c r="N78" s="242">
        <f>IF($D78="MWh/yr (LHV)",$E78,$J78*$E78*(1-$L78)/Conversion_kWh_to_MJ)</f>
        <v>0</v>
      </c>
      <c r="O78" s="19"/>
      <c r="P78" s="19"/>
      <c r="Q78" s="19"/>
      <c r="R78" s="19"/>
      <c r="S78" s="300">
        <v>0</v>
      </c>
      <c r="T78" s="477"/>
      <c r="U78" s="35" t="s">
        <v>1150</v>
      </c>
      <c r="V78" s="242" t="str">
        <f>IFERROR(IF(D78="tonnes/yr", $S78*$E78/($N$9*3.6), $T78*$E78*3.6/($N$9*3.6)), "Unfilled fields to left")</f>
        <v>Unfilled fields to left</v>
      </c>
      <c r="X78" s="21"/>
    </row>
    <row r="79" spans="2:25" s="14" customFormat="1">
      <c r="B79" s="64"/>
      <c r="C79" s="15"/>
      <c r="D79" s="179"/>
      <c r="E79" s="35"/>
      <c r="F79" s="21"/>
      <c r="G79" s="21"/>
      <c r="H79" s="63"/>
      <c r="I79" s="63"/>
      <c r="J79" s="304"/>
      <c r="K79" s="306"/>
      <c r="L79" s="306"/>
      <c r="M79" s="306"/>
      <c r="N79" s="242">
        <f>IF($D79="MWh/yr (LHV)",$E79,$J79*$E79*(1-$L79)/Conversion_kWh_to_MJ)</f>
        <v>0</v>
      </c>
      <c r="O79" s="19"/>
      <c r="P79" s="19"/>
      <c r="Q79" s="19"/>
      <c r="R79" s="19"/>
      <c r="S79" s="308"/>
      <c r="T79" s="477"/>
      <c r="U79" s="302"/>
      <c r="V79" s="242" t="str">
        <f>IFERROR(IF(D79="tonnes/yr", $S79*$E79/($N$9*3.6), $T79*$E79*3.6/($N$9*3.6)), "Unfilled fields to left")</f>
        <v>Unfilled fields to left</v>
      </c>
      <c r="X79" s="65"/>
    </row>
    <row r="80" spans="2:25" s="14" customFormat="1">
      <c r="B80" s="64"/>
      <c r="C80" s="15"/>
      <c r="D80" s="179"/>
      <c r="E80" s="35"/>
      <c r="F80" s="21"/>
      <c r="G80" s="21"/>
      <c r="H80" s="21"/>
      <c r="I80" s="21"/>
      <c r="J80" s="306"/>
      <c r="K80" s="306"/>
      <c r="L80" s="306"/>
      <c r="M80" s="306"/>
      <c r="N80" s="242">
        <f>IF($D80="MWh/yr (LHV)",$E80,$J80*$E80*(1-$L80)/Conversion_kWh_to_MJ)</f>
        <v>0</v>
      </c>
      <c r="O80" s="19"/>
      <c r="P80" s="19"/>
      <c r="Q80" s="19"/>
      <c r="R80" s="19"/>
      <c r="S80" s="308"/>
      <c r="T80" s="477"/>
      <c r="U80" s="302"/>
      <c r="V80" s="242" t="str">
        <f>IFERROR(IF(D80="tonnes/yr", $S80*$E80/($N$9*3.6), $T80*$E80*3.6/($N$9*3.6)), "Unfilled fields to left")</f>
        <v>Unfilled fields to left</v>
      </c>
      <c r="X80" s="65"/>
    </row>
    <row r="81" spans="2:25" s="14" customFormat="1">
      <c r="B81" s="64"/>
      <c r="C81" s="15"/>
      <c r="D81" s="179"/>
      <c r="E81" s="35"/>
      <c r="F81" s="21"/>
      <c r="G81" s="21"/>
      <c r="H81" s="21"/>
      <c r="I81" s="21"/>
      <c r="J81" s="306"/>
      <c r="K81" s="306"/>
      <c r="L81" s="306"/>
      <c r="M81" s="306"/>
      <c r="N81" s="242">
        <f>IF($D81="MWh/yr (LHV)",$E81,$J81*$E81*(1-$L81)/Conversion_kWh_to_MJ)</f>
        <v>0</v>
      </c>
      <c r="O81" s="19"/>
      <c r="P81" s="19"/>
      <c r="Q81" s="19"/>
      <c r="R81" s="19"/>
      <c r="S81" s="308"/>
      <c r="T81" s="477"/>
      <c r="U81" s="302"/>
      <c r="V81" s="242" t="str">
        <f>IFERROR(IF(D81="tonnes/yr", $S81*$E81/($N$9*3.6), $T81*$E81*3.6/($N$9*3.6)), "Unfilled fields to left")</f>
        <v>Unfilled fields to left</v>
      </c>
      <c r="X81" s="65"/>
    </row>
    <row r="82" spans="2:25" s="14" customFormat="1">
      <c r="B82" s="78"/>
      <c r="C82" s="262"/>
      <c r="D82" s="262"/>
      <c r="E82" s="496"/>
      <c r="F82" s="79"/>
      <c r="G82" s="79"/>
      <c r="H82" s="260"/>
      <c r="I82" s="260"/>
      <c r="J82" s="254"/>
      <c r="K82" s="254"/>
      <c r="L82" s="73"/>
      <c r="M82" s="73"/>
      <c r="N82" s="73"/>
      <c r="O82" s="12"/>
      <c r="P82" s="12"/>
      <c r="Q82" s="12"/>
      <c r="R82" s="12"/>
      <c r="S82" s="254"/>
      <c r="T82" s="254"/>
      <c r="U82" s="254"/>
      <c r="V82" s="254"/>
      <c r="X82" s="79"/>
    </row>
    <row r="83" spans="2:25" s="14" customFormat="1" ht="16.5">
      <c r="B83" s="145" t="s">
        <v>131</v>
      </c>
      <c r="C83" s="159"/>
      <c r="D83" s="159"/>
      <c r="E83" s="499"/>
      <c r="F83" s="160"/>
      <c r="G83" s="161"/>
      <c r="H83" s="160"/>
      <c r="I83" s="160"/>
      <c r="J83" s="307"/>
      <c r="K83" s="307"/>
      <c r="L83" s="476"/>
      <c r="M83" s="476"/>
      <c r="N83" s="476"/>
      <c r="O83" s="158"/>
      <c r="P83" s="158"/>
      <c r="Q83" s="158"/>
      <c r="R83" s="158"/>
      <c r="S83" s="307"/>
      <c r="T83" s="307"/>
      <c r="U83" s="307"/>
      <c r="V83" s="153">
        <f>SUM(V84:V91)</f>
        <v>0</v>
      </c>
      <c r="X83" s="79"/>
    </row>
    <row r="84" spans="2:25" s="14" customFormat="1">
      <c r="B84" s="186" t="s">
        <v>1072</v>
      </c>
      <c r="C84" s="184" t="s">
        <v>1073</v>
      </c>
      <c r="D84" s="179" t="s">
        <v>459</v>
      </c>
      <c r="E84" s="35"/>
      <c r="F84" s="24"/>
      <c r="G84" s="21"/>
      <c r="H84" s="24"/>
      <c r="I84" s="24"/>
      <c r="J84" s="495"/>
      <c r="K84" s="35"/>
      <c r="L84" s="306"/>
      <c r="M84" s="306"/>
      <c r="N84" s="242">
        <f t="shared" ref="N84:N91" si="16">IF($D84="MWh/yr (LHV)",$E84,$J84*$E84*(1-$L84)/Conversion_kWh_to_MJ)</f>
        <v>0</v>
      </c>
      <c r="O84" s="12"/>
      <c r="P84" s="12"/>
      <c r="Q84" s="12"/>
      <c r="R84" s="12"/>
      <c r="S84" s="300">
        <f t="shared" ref="S84" si="17">28*1000</f>
        <v>28000</v>
      </c>
      <c r="T84" s="477"/>
      <c r="U84" s="35" t="s">
        <v>1059</v>
      </c>
      <c r="V84" s="242" t="str">
        <f t="shared" ref="V84:V91" si="18">IFERROR(IF(D84="tonnes/yr", $S84*$E84/($N$9*3.6), $T84*$E84*3.6/($N$9*3.6)), "Unfilled fields to left")</f>
        <v>Unfilled fields to left</v>
      </c>
      <c r="X84" s="21"/>
    </row>
    <row r="85" spans="2:25" s="14" customFormat="1">
      <c r="B85" s="187" t="s">
        <v>1074</v>
      </c>
      <c r="C85" s="184" t="s">
        <v>1075</v>
      </c>
      <c r="D85" s="179" t="s">
        <v>459</v>
      </c>
      <c r="E85" s="35"/>
      <c r="F85" s="24"/>
      <c r="G85" s="65"/>
      <c r="H85" s="24"/>
      <c r="I85" s="24"/>
      <c r="J85" s="495"/>
      <c r="K85" s="35"/>
      <c r="L85" s="308"/>
      <c r="M85" s="308"/>
      <c r="N85" s="242">
        <f t="shared" si="16"/>
        <v>0</v>
      </c>
      <c r="O85" s="19"/>
      <c r="P85" s="19"/>
      <c r="Q85" s="19"/>
      <c r="R85" s="19"/>
      <c r="S85" s="300">
        <v>265000</v>
      </c>
      <c r="T85" s="477"/>
      <c r="U85" s="35" t="s">
        <v>1059</v>
      </c>
      <c r="V85" s="242" t="str">
        <f t="shared" si="18"/>
        <v>Unfilled fields to left</v>
      </c>
      <c r="X85" s="65"/>
    </row>
    <row r="86" spans="2:25" s="14" customFormat="1">
      <c r="B86" s="187" t="s">
        <v>1076</v>
      </c>
      <c r="C86" s="184" t="s">
        <v>1077</v>
      </c>
      <c r="D86" s="179" t="s">
        <v>459</v>
      </c>
      <c r="E86" s="35"/>
      <c r="F86" s="24"/>
      <c r="G86" s="65"/>
      <c r="H86" s="24"/>
      <c r="I86" s="24"/>
      <c r="J86" s="495"/>
      <c r="K86" s="35"/>
      <c r="L86" s="308"/>
      <c r="M86" s="308"/>
      <c r="N86" s="242">
        <f t="shared" si="16"/>
        <v>0</v>
      </c>
      <c r="O86" s="19"/>
      <c r="P86" s="19"/>
      <c r="Q86" s="19"/>
      <c r="R86" s="19"/>
      <c r="S86" s="300">
        <v>23500000</v>
      </c>
      <c r="T86" s="477"/>
      <c r="U86" s="35" t="s">
        <v>1059</v>
      </c>
      <c r="V86" s="242" t="str">
        <f t="shared" si="18"/>
        <v>Unfilled fields to left</v>
      </c>
      <c r="X86" s="65"/>
    </row>
    <row r="87" spans="2:25" s="14" customFormat="1">
      <c r="B87" s="187" t="s">
        <v>1078</v>
      </c>
      <c r="C87" s="184" t="s">
        <v>1079</v>
      </c>
      <c r="D87" s="179" t="s">
        <v>459</v>
      </c>
      <c r="E87" s="35"/>
      <c r="F87" s="24"/>
      <c r="G87" s="65"/>
      <c r="H87" s="24"/>
      <c r="I87" s="24"/>
      <c r="J87" s="495"/>
      <c r="K87" s="35"/>
      <c r="L87" s="308"/>
      <c r="M87" s="308"/>
      <c r="N87" s="242">
        <f t="shared" si="16"/>
        <v>0</v>
      </c>
      <c r="O87" s="19"/>
      <c r="P87" s="19"/>
      <c r="Q87" s="19"/>
      <c r="R87" s="19"/>
      <c r="S87" s="484" t="s">
        <v>1080</v>
      </c>
      <c r="T87" s="477"/>
      <c r="U87" s="35"/>
      <c r="V87" s="242" t="str">
        <f t="shared" si="18"/>
        <v>Unfilled fields to left</v>
      </c>
      <c r="X87" s="65"/>
    </row>
    <row r="88" spans="2:25" s="14" customFormat="1">
      <c r="B88" s="187" t="s">
        <v>1078</v>
      </c>
      <c r="C88" s="184" t="s">
        <v>1079</v>
      </c>
      <c r="D88" s="179" t="s">
        <v>459</v>
      </c>
      <c r="E88" s="35"/>
      <c r="F88" s="24"/>
      <c r="G88" s="65"/>
      <c r="H88" s="24"/>
      <c r="I88" s="24"/>
      <c r="J88" s="495"/>
      <c r="K88" s="35"/>
      <c r="L88" s="308"/>
      <c r="M88" s="308"/>
      <c r="N88" s="242">
        <f t="shared" si="16"/>
        <v>0</v>
      </c>
      <c r="O88" s="19"/>
      <c r="P88" s="19"/>
      <c r="Q88" s="19"/>
      <c r="R88" s="19"/>
      <c r="S88" s="484" t="s">
        <v>1080</v>
      </c>
      <c r="T88" s="477"/>
      <c r="U88" s="35"/>
      <c r="V88" s="242" t="str">
        <f t="shared" si="18"/>
        <v>Unfilled fields to left</v>
      </c>
      <c r="X88" s="65"/>
    </row>
    <row r="89" spans="2:25" s="14" customFormat="1">
      <c r="B89" s="187" t="s">
        <v>1078</v>
      </c>
      <c r="C89" s="184" t="s">
        <v>1079</v>
      </c>
      <c r="D89" s="179" t="s">
        <v>459</v>
      </c>
      <c r="E89" s="35"/>
      <c r="F89" s="24"/>
      <c r="G89" s="65"/>
      <c r="H89" s="24"/>
      <c r="I89" s="24"/>
      <c r="J89" s="495"/>
      <c r="K89" s="35"/>
      <c r="L89" s="308"/>
      <c r="M89" s="308"/>
      <c r="N89" s="242">
        <f t="shared" si="16"/>
        <v>0</v>
      </c>
      <c r="O89" s="19"/>
      <c r="P89" s="19"/>
      <c r="Q89" s="19"/>
      <c r="R89" s="19"/>
      <c r="S89" s="484" t="s">
        <v>1080</v>
      </c>
      <c r="T89" s="477"/>
      <c r="U89" s="35"/>
      <c r="V89" s="242" t="str">
        <f t="shared" si="18"/>
        <v>Unfilled fields to left</v>
      </c>
      <c r="X89" s="65"/>
    </row>
    <row r="90" spans="2:25" s="14" customFormat="1">
      <c r="B90" s="64"/>
      <c r="C90" s="15"/>
      <c r="D90" s="180"/>
      <c r="E90" s="500"/>
      <c r="F90" s="65"/>
      <c r="G90" s="65"/>
      <c r="H90" s="66"/>
      <c r="I90" s="66"/>
      <c r="J90" s="304"/>
      <c r="K90" s="308"/>
      <c r="L90" s="308"/>
      <c r="M90" s="308"/>
      <c r="N90" s="242">
        <f t="shared" si="16"/>
        <v>0</v>
      </c>
      <c r="O90" s="19"/>
      <c r="P90" s="19"/>
      <c r="Q90" s="19"/>
      <c r="R90" s="19"/>
      <c r="S90" s="302"/>
      <c r="T90" s="477"/>
      <c r="U90" s="308"/>
      <c r="V90" s="242" t="str">
        <f t="shared" si="18"/>
        <v>Unfilled fields to left</v>
      </c>
      <c r="X90" s="65"/>
    </row>
    <row r="91" spans="2:25" s="14" customFormat="1">
      <c r="B91" s="64"/>
      <c r="C91" s="15"/>
      <c r="D91" s="180"/>
      <c r="E91" s="500"/>
      <c r="F91" s="65"/>
      <c r="G91" s="65"/>
      <c r="H91" s="66"/>
      <c r="I91" s="66"/>
      <c r="J91" s="306"/>
      <c r="K91" s="308"/>
      <c r="L91" s="308"/>
      <c r="M91" s="308"/>
      <c r="N91" s="242">
        <f t="shared" si="16"/>
        <v>0</v>
      </c>
      <c r="O91" s="19"/>
      <c r="P91" s="19"/>
      <c r="Q91" s="19"/>
      <c r="R91" s="19"/>
      <c r="S91" s="302"/>
      <c r="T91" s="477"/>
      <c r="U91" s="308"/>
      <c r="V91" s="242" t="str">
        <f t="shared" si="18"/>
        <v>Unfilled fields to left</v>
      </c>
      <c r="X91" s="65"/>
    </row>
    <row r="92" spans="2:25">
      <c r="C92" s="17"/>
      <c r="D92" s="17"/>
      <c r="E92" s="140"/>
      <c r="F92" s="17"/>
      <c r="H92" s="18"/>
      <c r="I92" s="18"/>
      <c r="J92" s="40"/>
      <c r="K92" s="40"/>
      <c r="L92" s="40"/>
      <c r="M92" s="40"/>
      <c r="N92" s="40"/>
      <c r="O92" s="12"/>
      <c r="S92" s="40"/>
      <c r="T92" s="40"/>
      <c r="U92" s="40"/>
      <c r="V92" s="40"/>
      <c r="Y92" s="19"/>
    </row>
    <row r="93" spans="2:25">
      <c r="E93" s="113"/>
      <c r="I93" s="19"/>
      <c r="J93" s="113"/>
      <c r="K93" s="113"/>
      <c r="L93" s="107"/>
      <c r="M93" s="107"/>
      <c r="N93" s="107"/>
      <c r="O93" s="12"/>
      <c r="S93" s="125"/>
      <c r="T93" s="125"/>
      <c r="U93" s="38" t="s">
        <v>1114</v>
      </c>
      <c r="V93" s="153">
        <f>IF(OR(COUNTIF(Initial_questions!$E$112,"Default"), COUNTIF(Initial_questions!$E$114:$E$115,"Default")),"Default data selected",SUM(V20,V32,V44,V51,V59,V69,V76,V83))</f>
        <v>0</v>
      </c>
      <c r="Y93" s="19"/>
    </row>
    <row r="94" spans="2:25">
      <c r="B94" s="145" t="s">
        <v>132</v>
      </c>
      <c r="C94" s="159"/>
      <c r="D94" s="159"/>
      <c r="E94" s="499"/>
      <c r="I94" s="19"/>
      <c r="J94" s="113"/>
      <c r="K94" s="113"/>
      <c r="L94" s="107"/>
      <c r="M94" s="107"/>
      <c r="N94" s="107"/>
      <c r="O94" s="12"/>
      <c r="S94" s="113"/>
      <c r="T94" s="113"/>
      <c r="U94" s="113"/>
      <c r="V94" s="19"/>
      <c r="Y94" s="19"/>
    </row>
    <row r="95" spans="2:25">
      <c r="B95" s="16" t="s">
        <v>1086</v>
      </c>
      <c r="C95" s="15" t="s">
        <v>1135</v>
      </c>
      <c r="D95" s="15" t="s">
        <v>1088</v>
      </c>
      <c r="E95" s="501"/>
      <c r="H95" s="19"/>
      <c r="I95" s="19"/>
      <c r="J95" s="113"/>
      <c r="K95" s="113"/>
      <c r="L95" s="107"/>
      <c r="M95" s="107"/>
      <c r="N95" s="107"/>
      <c r="O95" s="12"/>
      <c r="S95" s="113"/>
      <c r="T95" s="113"/>
      <c r="U95" s="113"/>
      <c r="V95" s="19"/>
      <c r="X95" s="25"/>
      <c r="Y95" s="19"/>
    </row>
    <row r="96" spans="2:25">
      <c r="B96" s="16" t="s">
        <v>1091</v>
      </c>
      <c r="C96" s="15" t="s">
        <v>1136</v>
      </c>
      <c r="D96" s="15" t="s">
        <v>785</v>
      </c>
      <c r="E96" s="511">
        <f>Initial_questions!$E$93</f>
        <v>0</v>
      </c>
      <c r="I96" s="19"/>
      <c r="J96" s="113"/>
      <c r="K96" s="113"/>
      <c r="L96" s="107"/>
      <c r="M96" s="107"/>
      <c r="N96" s="107"/>
      <c r="O96" s="12"/>
      <c r="S96" s="113"/>
      <c r="T96" s="113"/>
      <c r="U96" s="113"/>
      <c r="V96" s="19"/>
      <c r="X96" s="25"/>
      <c r="Y96" s="19"/>
    </row>
    <row r="97" spans="2:25">
      <c r="B97" s="16" t="s">
        <v>1091</v>
      </c>
      <c r="C97" s="15" t="s">
        <v>1152</v>
      </c>
      <c r="D97" s="15" t="s">
        <v>785</v>
      </c>
      <c r="E97" s="511">
        <f>Initial_questions!$E$102</f>
        <v>0</v>
      </c>
      <c r="H97" s="19"/>
      <c r="I97" s="19"/>
      <c r="J97" s="113"/>
      <c r="K97" s="113"/>
      <c r="L97" s="107"/>
      <c r="M97" s="107"/>
      <c r="N97" s="107"/>
      <c r="O97" s="12"/>
      <c r="S97" s="113"/>
      <c r="T97" s="113"/>
      <c r="U97" s="113"/>
      <c r="V97" s="19"/>
      <c r="X97" s="25"/>
      <c r="Y97" s="19"/>
    </row>
    <row r="98" spans="2:25">
      <c r="B98" s="16"/>
      <c r="C98" s="15"/>
      <c r="D98" s="15"/>
      <c r="E98" s="501"/>
      <c r="H98" s="19"/>
      <c r="I98" s="19"/>
      <c r="J98" s="113"/>
      <c r="K98" s="113"/>
      <c r="L98" s="107"/>
      <c r="M98" s="107"/>
      <c r="N98" s="107"/>
      <c r="O98" s="12"/>
      <c r="S98" s="125"/>
      <c r="T98" s="125"/>
      <c r="U98" s="125"/>
      <c r="X98" s="25"/>
    </row>
    <row r="99" spans="2:25">
      <c r="E99" s="113"/>
      <c r="H99" s="19"/>
      <c r="I99" s="19"/>
      <c r="J99" s="113"/>
      <c r="K99" s="113"/>
      <c r="L99" s="107"/>
      <c r="M99" s="107"/>
      <c r="N99" s="107"/>
      <c r="O99" s="12"/>
      <c r="S99" s="125"/>
      <c r="T99" s="125"/>
      <c r="U99" s="125"/>
    </row>
    <row r="100" spans="2:25">
      <c r="E100" s="113"/>
      <c r="J100" s="125"/>
      <c r="K100" s="125"/>
      <c r="L100" s="39"/>
      <c r="M100" s="39"/>
      <c r="S100" s="125"/>
      <c r="T100" s="125"/>
      <c r="U100" s="125"/>
    </row>
    <row r="101" spans="2:25">
      <c r="E101" s="113"/>
      <c r="J101" s="125"/>
      <c r="K101" s="125"/>
      <c r="L101" s="39"/>
      <c r="M101" s="39"/>
      <c r="S101" s="125"/>
      <c r="T101" s="125"/>
      <c r="U101" s="125"/>
    </row>
    <row r="102" spans="2:25">
      <c r="E102" s="113"/>
      <c r="J102" s="125"/>
      <c r="K102" s="125"/>
      <c r="L102" s="39"/>
      <c r="M102" s="39"/>
      <c r="S102" s="125"/>
      <c r="T102" s="125"/>
      <c r="U102" s="125"/>
    </row>
    <row r="103" spans="2:25">
      <c r="E103" s="113"/>
      <c r="J103" s="125"/>
      <c r="K103" s="125"/>
      <c r="L103" s="39"/>
      <c r="M103" s="39"/>
      <c r="S103" s="125"/>
      <c r="T103" s="125"/>
      <c r="U103" s="125"/>
    </row>
    <row r="104" spans="2:25">
      <c r="E104" s="113"/>
      <c r="J104" s="125"/>
      <c r="K104" s="125"/>
      <c r="L104" s="39"/>
      <c r="M104" s="39"/>
      <c r="S104" s="125"/>
      <c r="T104" s="125"/>
      <c r="U104" s="125"/>
    </row>
    <row r="105" spans="2:25">
      <c r="E105" s="113"/>
      <c r="J105" s="125"/>
      <c r="K105" s="125"/>
      <c r="L105" s="39"/>
      <c r="M105" s="39"/>
      <c r="S105" s="125"/>
      <c r="T105" s="125"/>
      <c r="U105" s="125"/>
    </row>
    <row r="106" spans="2:25">
      <c r="E106" s="113"/>
      <c r="J106" s="125"/>
      <c r="K106" s="125"/>
      <c r="L106" s="39"/>
      <c r="M106" s="39"/>
      <c r="S106" s="125"/>
      <c r="T106" s="125"/>
      <c r="U106" s="125"/>
    </row>
    <row r="107" spans="2:25">
      <c r="E107" s="113"/>
      <c r="J107" s="125"/>
      <c r="K107" s="125"/>
      <c r="L107" s="39"/>
      <c r="M107" s="39"/>
      <c r="S107" s="125"/>
      <c r="T107" s="125"/>
      <c r="U107" s="125"/>
    </row>
    <row r="108" spans="2:25">
      <c r="E108" s="113"/>
      <c r="J108" s="125"/>
      <c r="K108" s="125"/>
      <c r="L108" s="39"/>
      <c r="M108" s="39"/>
      <c r="S108" s="125"/>
      <c r="T108" s="125"/>
      <c r="U108" s="125"/>
    </row>
    <row r="109" spans="2:25">
      <c r="E109" s="113"/>
      <c r="J109" s="125"/>
      <c r="K109" s="125"/>
      <c r="L109" s="39"/>
      <c r="M109" s="39"/>
      <c r="S109" s="125"/>
      <c r="T109" s="125"/>
      <c r="U109" s="125"/>
    </row>
    <row r="110" spans="2:25">
      <c r="E110" s="113"/>
      <c r="J110" s="125"/>
      <c r="K110" s="125"/>
      <c r="L110" s="39"/>
      <c r="M110" s="39"/>
      <c r="S110" s="125"/>
      <c r="T110" s="125"/>
      <c r="U110" s="125"/>
    </row>
    <row r="111" spans="2:25">
      <c r="E111" s="113"/>
      <c r="J111" s="125"/>
      <c r="K111" s="125"/>
      <c r="L111" s="39"/>
      <c r="M111" s="39"/>
      <c r="S111" s="125"/>
      <c r="T111" s="125"/>
      <c r="U111" s="125"/>
    </row>
    <row r="112" spans="2:25">
      <c r="E112" s="113"/>
      <c r="J112" s="125"/>
      <c r="K112" s="125"/>
      <c r="L112" s="39"/>
      <c r="M112" s="39"/>
      <c r="S112" s="125"/>
      <c r="T112" s="125"/>
      <c r="U112" s="125"/>
    </row>
    <row r="113" spans="5:21">
      <c r="E113" s="113"/>
      <c r="J113" s="125"/>
      <c r="K113" s="125"/>
      <c r="L113" s="39"/>
      <c r="M113" s="39"/>
      <c r="S113" s="125"/>
      <c r="T113" s="125"/>
      <c r="U113" s="125"/>
    </row>
    <row r="114" spans="5:21">
      <c r="E114" s="113"/>
      <c r="J114" s="125"/>
      <c r="K114" s="125"/>
      <c r="L114" s="39"/>
      <c r="M114" s="39"/>
      <c r="S114" s="125"/>
      <c r="T114" s="125"/>
      <c r="U114" s="125"/>
    </row>
    <row r="115" spans="5:21">
      <c r="E115" s="113"/>
      <c r="J115" s="125"/>
      <c r="K115" s="125"/>
      <c r="L115" s="39"/>
      <c r="M115" s="39"/>
      <c r="S115" s="125"/>
      <c r="T115" s="125"/>
      <c r="U115" s="125"/>
    </row>
    <row r="116" spans="5:21">
      <c r="E116" s="113"/>
      <c r="J116" s="125"/>
      <c r="K116" s="125"/>
      <c r="L116" s="39"/>
      <c r="M116" s="39"/>
      <c r="S116" s="125"/>
      <c r="T116" s="125"/>
      <c r="U116" s="125"/>
    </row>
    <row r="117" spans="5:21">
      <c r="E117" s="113"/>
      <c r="J117" s="125"/>
      <c r="K117" s="125"/>
      <c r="L117" s="39"/>
      <c r="M117" s="39"/>
      <c r="S117" s="125"/>
      <c r="T117" s="125"/>
      <c r="U117" s="125"/>
    </row>
    <row r="118" spans="5:21">
      <c r="E118" s="113"/>
      <c r="J118" s="125"/>
      <c r="K118" s="125"/>
      <c r="L118" s="39"/>
      <c r="M118" s="39"/>
      <c r="S118" s="125"/>
      <c r="T118" s="125"/>
      <c r="U118" s="125"/>
    </row>
    <row r="119" spans="5:21">
      <c r="E119" s="113"/>
      <c r="J119" s="125"/>
      <c r="K119" s="125"/>
      <c r="L119" s="39"/>
      <c r="M119" s="39"/>
      <c r="S119" s="125"/>
      <c r="T119" s="125"/>
      <c r="U119" s="125"/>
    </row>
    <row r="120" spans="5:21">
      <c r="E120" s="113"/>
      <c r="J120" s="125"/>
      <c r="K120" s="125"/>
      <c r="L120" s="39"/>
      <c r="M120" s="39"/>
      <c r="S120" s="125"/>
      <c r="T120" s="125"/>
      <c r="U120" s="125"/>
    </row>
    <row r="121" spans="5:21">
      <c r="E121" s="113"/>
      <c r="J121" s="125"/>
      <c r="K121" s="125"/>
      <c r="L121" s="39"/>
      <c r="M121" s="39"/>
      <c r="S121" s="125"/>
      <c r="T121" s="125"/>
      <c r="U121" s="125"/>
    </row>
    <row r="122" spans="5:21">
      <c r="E122" s="113"/>
      <c r="J122" s="125"/>
      <c r="K122" s="125"/>
      <c r="L122" s="39"/>
      <c r="M122" s="39"/>
      <c r="S122" s="125"/>
      <c r="T122" s="125"/>
      <c r="U122" s="125"/>
    </row>
    <row r="123" spans="5:21">
      <c r="E123" s="113"/>
      <c r="J123" s="125"/>
      <c r="K123" s="125"/>
      <c r="L123" s="39"/>
      <c r="M123" s="39"/>
      <c r="S123" s="125"/>
      <c r="T123" s="125"/>
      <c r="U123" s="125"/>
    </row>
    <row r="124" spans="5:21">
      <c r="E124" s="113"/>
      <c r="J124" s="125"/>
      <c r="K124" s="125"/>
      <c r="L124" s="39"/>
      <c r="M124" s="39"/>
      <c r="S124" s="125"/>
      <c r="T124" s="125"/>
      <c r="U124" s="125"/>
    </row>
    <row r="125" spans="5:21">
      <c r="E125" s="113"/>
      <c r="J125" s="125"/>
      <c r="K125" s="125"/>
      <c r="L125" s="39"/>
      <c r="M125" s="39"/>
      <c r="S125" s="125"/>
      <c r="T125" s="125"/>
      <c r="U125" s="125"/>
    </row>
    <row r="126" spans="5:21">
      <c r="E126" s="113"/>
      <c r="J126" s="125"/>
      <c r="K126" s="125"/>
      <c r="L126" s="39"/>
      <c r="M126" s="39"/>
      <c r="S126" s="125"/>
      <c r="T126" s="125"/>
      <c r="U126" s="125"/>
    </row>
    <row r="127" spans="5:21">
      <c r="E127" s="113"/>
      <c r="J127" s="125"/>
      <c r="K127" s="125"/>
      <c r="L127" s="39"/>
      <c r="M127" s="39"/>
      <c r="S127" s="125"/>
      <c r="T127" s="125"/>
      <c r="U127" s="125"/>
    </row>
    <row r="128" spans="5:21">
      <c r="E128" s="113"/>
      <c r="J128" s="125"/>
      <c r="K128" s="125"/>
      <c r="L128" s="39"/>
      <c r="M128" s="39"/>
      <c r="S128" s="125"/>
      <c r="T128" s="125"/>
      <c r="U128" s="125"/>
    </row>
    <row r="129" spans="5:21">
      <c r="E129" s="113"/>
      <c r="J129" s="125"/>
      <c r="K129" s="125"/>
      <c r="L129" s="39"/>
      <c r="M129" s="39"/>
      <c r="S129" s="125"/>
      <c r="T129" s="125"/>
      <c r="U129" s="125"/>
    </row>
    <row r="130" spans="5:21">
      <c r="E130" s="113"/>
      <c r="J130" s="125"/>
      <c r="K130" s="125"/>
      <c r="L130" s="39"/>
      <c r="M130" s="39"/>
      <c r="S130" s="125"/>
      <c r="T130" s="125"/>
      <c r="U130" s="125"/>
    </row>
    <row r="131" spans="5:21">
      <c r="E131" s="113"/>
      <c r="J131" s="125"/>
      <c r="K131" s="125"/>
      <c r="L131" s="39"/>
      <c r="M131" s="39"/>
      <c r="S131" s="125"/>
      <c r="T131" s="125"/>
      <c r="U131" s="125"/>
    </row>
    <row r="132" spans="5:21">
      <c r="E132" s="113"/>
      <c r="J132" s="125"/>
      <c r="K132" s="125"/>
      <c r="L132" s="39"/>
      <c r="M132" s="39"/>
      <c r="S132" s="125"/>
      <c r="T132" s="125"/>
      <c r="U132" s="125"/>
    </row>
    <row r="133" spans="5:21">
      <c r="E133" s="113"/>
      <c r="J133" s="125"/>
      <c r="K133" s="125"/>
      <c r="L133" s="39"/>
      <c r="M133" s="39"/>
      <c r="S133" s="125"/>
      <c r="T133" s="125"/>
      <c r="U133" s="125"/>
    </row>
    <row r="134" spans="5:21">
      <c r="E134" s="113"/>
      <c r="J134" s="125"/>
      <c r="K134" s="125"/>
      <c r="L134" s="39"/>
      <c r="M134" s="39"/>
      <c r="S134" s="125"/>
      <c r="T134" s="125"/>
      <c r="U134" s="125"/>
    </row>
    <row r="135" spans="5:21">
      <c r="E135" s="113"/>
      <c r="J135" s="125"/>
      <c r="K135" s="125"/>
      <c r="L135" s="39"/>
      <c r="M135" s="39"/>
      <c r="S135" s="125"/>
      <c r="T135" s="125"/>
      <c r="U135" s="125"/>
    </row>
    <row r="136" spans="5:21">
      <c r="E136" s="113"/>
      <c r="J136" s="125"/>
      <c r="K136" s="125"/>
      <c r="L136" s="39"/>
      <c r="M136" s="39"/>
      <c r="S136" s="125"/>
      <c r="T136" s="125"/>
      <c r="U136" s="125"/>
    </row>
    <row r="137" spans="5:21">
      <c r="E137" s="113"/>
      <c r="J137" s="125"/>
      <c r="K137" s="125"/>
      <c r="L137" s="39"/>
      <c r="M137" s="39"/>
      <c r="S137" s="125"/>
      <c r="T137" s="125"/>
      <c r="U137" s="125"/>
    </row>
    <row r="138" spans="5:21">
      <c r="E138" s="113"/>
      <c r="J138" s="125"/>
      <c r="K138" s="125"/>
      <c r="L138" s="39"/>
      <c r="M138" s="39"/>
      <c r="S138" s="125"/>
      <c r="T138" s="125"/>
      <c r="U138" s="125"/>
    </row>
    <row r="139" spans="5:21">
      <c r="E139" s="113"/>
      <c r="S139" s="125"/>
      <c r="T139" s="125"/>
      <c r="U139" s="125"/>
    </row>
    <row r="140" spans="5:21">
      <c r="E140" s="113"/>
      <c r="S140" s="125"/>
      <c r="T140" s="125"/>
      <c r="U140" s="125"/>
    </row>
    <row r="141" spans="5:21">
      <c r="E141" s="113"/>
      <c r="S141" s="125"/>
      <c r="T141" s="125"/>
      <c r="U141" s="125"/>
    </row>
    <row r="142" spans="5:21">
      <c r="E142" s="113"/>
      <c r="S142" s="125"/>
      <c r="T142" s="125"/>
      <c r="U142" s="125"/>
    </row>
    <row r="143" spans="5:21">
      <c r="E143" s="113"/>
      <c r="S143" s="125"/>
      <c r="T143" s="125"/>
      <c r="U143" s="125"/>
    </row>
    <row r="144" spans="5:21">
      <c r="E144" s="113"/>
      <c r="S144" s="125"/>
      <c r="T144" s="125"/>
      <c r="U144" s="125"/>
    </row>
    <row r="145" spans="5:21">
      <c r="E145" s="113"/>
      <c r="S145" s="125"/>
      <c r="T145" s="125"/>
      <c r="U145" s="125"/>
    </row>
    <row r="146" spans="5:21">
      <c r="E146" s="113"/>
      <c r="S146" s="125"/>
      <c r="T146" s="125"/>
      <c r="U146" s="125"/>
    </row>
    <row r="147" spans="5:21">
      <c r="E147" s="113"/>
      <c r="S147" s="125"/>
      <c r="T147" s="125"/>
      <c r="U147" s="125"/>
    </row>
    <row r="148" spans="5:21">
      <c r="E148" s="113"/>
      <c r="S148" s="125"/>
      <c r="T148" s="125"/>
      <c r="U148" s="125"/>
    </row>
    <row r="149" spans="5:21">
      <c r="E149" s="113"/>
      <c r="S149" s="125"/>
      <c r="T149" s="125"/>
      <c r="U149" s="125"/>
    </row>
    <row r="150" spans="5:21">
      <c r="E150" s="113"/>
      <c r="S150" s="125"/>
      <c r="T150" s="125"/>
      <c r="U150" s="125"/>
    </row>
    <row r="151" spans="5:21">
      <c r="E151" s="113"/>
      <c r="S151" s="125"/>
      <c r="T151" s="125"/>
      <c r="U151" s="125"/>
    </row>
    <row r="152" spans="5:21">
      <c r="E152" s="113"/>
      <c r="S152" s="125"/>
      <c r="T152" s="125"/>
      <c r="U152" s="125"/>
    </row>
    <row r="153" spans="5:21">
      <c r="E153" s="113"/>
      <c r="S153" s="125"/>
      <c r="T153" s="125"/>
      <c r="U153" s="125"/>
    </row>
    <row r="154" spans="5:21">
      <c r="E154" s="113"/>
      <c r="S154" s="125"/>
      <c r="T154" s="125"/>
      <c r="U154" s="125"/>
    </row>
    <row r="155" spans="5:21">
      <c r="E155" s="113"/>
      <c r="S155" s="125"/>
      <c r="T155" s="125"/>
      <c r="U155" s="125"/>
    </row>
    <row r="156" spans="5:21">
      <c r="E156" s="113"/>
      <c r="S156" s="125"/>
      <c r="T156" s="125"/>
      <c r="U156" s="125"/>
    </row>
    <row r="157" spans="5:21">
      <c r="E157" s="113"/>
      <c r="S157" s="125"/>
      <c r="T157" s="125"/>
      <c r="U157" s="125"/>
    </row>
    <row r="158" spans="5:21">
      <c r="E158" s="113"/>
      <c r="S158" s="125"/>
      <c r="T158" s="125"/>
      <c r="U158" s="125"/>
    </row>
    <row r="159" spans="5:21">
      <c r="E159" s="113"/>
      <c r="S159" s="125"/>
      <c r="T159" s="125"/>
      <c r="U159" s="125"/>
    </row>
    <row r="160" spans="5:21">
      <c r="E160" s="113"/>
      <c r="S160" s="125"/>
      <c r="T160" s="125"/>
      <c r="U160" s="125"/>
    </row>
    <row r="161" spans="5:21">
      <c r="E161" s="113"/>
      <c r="S161" s="125"/>
      <c r="T161" s="125"/>
      <c r="U161" s="125"/>
    </row>
    <row r="162" spans="5:21">
      <c r="E162" s="113"/>
      <c r="S162" s="125"/>
      <c r="T162" s="125"/>
      <c r="U162" s="125"/>
    </row>
    <row r="163" spans="5:21">
      <c r="E163" s="113"/>
      <c r="S163" s="125"/>
      <c r="T163" s="125"/>
      <c r="U163" s="125"/>
    </row>
    <row r="164" spans="5:21">
      <c r="E164" s="256"/>
      <c r="S164" s="125"/>
      <c r="T164" s="125"/>
      <c r="U164" s="125"/>
    </row>
    <row r="165" spans="5:21">
      <c r="E165" s="256"/>
      <c r="S165" s="125"/>
      <c r="T165" s="125"/>
      <c r="U165" s="125"/>
    </row>
    <row r="166" spans="5:21">
      <c r="E166" s="256"/>
      <c r="S166" s="125"/>
      <c r="T166" s="125"/>
      <c r="U166" s="125"/>
    </row>
    <row r="167" spans="5:21">
      <c r="E167" s="256"/>
      <c r="S167" s="125"/>
      <c r="T167" s="125"/>
      <c r="U167" s="125"/>
    </row>
    <row r="168" spans="5:21">
      <c r="E168" s="256"/>
      <c r="S168" s="125"/>
      <c r="T168" s="125"/>
      <c r="U168" s="125"/>
    </row>
    <row r="169" spans="5:21">
      <c r="E169" s="256"/>
      <c r="S169" s="125"/>
      <c r="T169" s="125"/>
      <c r="U169" s="125"/>
    </row>
    <row r="170" spans="5:21">
      <c r="E170" s="256"/>
      <c r="S170" s="125"/>
      <c r="T170" s="125"/>
      <c r="U170" s="125"/>
    </row>
    <row r="171" spans="5:21">
      <c r="E171" s="256"/>
      <c r="S171" s="125"/>
      <c r="T171" s="125"/>
      <c r="U171" s="125"/>
    </row>
    <row r="172" spans="5:21">
      <c r="E172" s="256"/>
      <c r="S172" s="125"/>
      <c r="T172" s="125"/>
      <c r="U172" s="125"/>
    </row>
    <row r="173" spans="5:21">
      <c r="E173" s="256"/>
      <c r="S173" s="125"/>
      <c r="T173" s="125"/>
      <c r="U173" s="125"/>
    </row>
    <row r="174" spans="5:21">
      <c r="E174" s="256"/>
      <c r="S174" s="125"/>
      <c r="T174" s="125"/>
      <c r="U174" s="125"/>
    </row>
    <row r="175" spans="5:21">
      <c r="E175" s="256"/>
      <c r="S175" s="125"/>
      <c r="T175" s="125"/>
      <c r="U175" s="125"/>
    </row>
    <row r="176" spans="5:21">
      <c r="E176" s="256"/>
      <c r="S176" s="125"/>
      <c r="T176" s="125"/>
      <c r="U176" s="125"/>
    </row>
    <row r="177" spans="5:21">
      <c r="E177" s="256"/>
      <c r="S177" s="125"/>
      <c r="T177" s="125"/>
      <c r="U177" s="125"/>
    </row>
    <row r="178" spans="5:21">
      <c r="E178" s="256"/>
      <c r="S178" s="125"/>
      <c r="T178" s="125"/>
      <c r="U178" s="125"/>
    </row>
    <row r="179" spans="5:21">
      <c r="E179" s="256"/>
      <c r="S179" s="125"/>
      <c r="T179" s="125"/>
      <c r="U179" s="125"/>
    </row>
    <row r="180" spans="5:21">
      <c r="E180" s="256"/>
      <c r="S180" s="125"/>
      <c r="T180" s="125"/>
      <c r="U180" s="125"/>
    </row>
    <row r="181" spans="5:21">
      <c r="E181" s="256"/>
      <c r="S181" s="125"/>
      <c r="T181" s="125"/>
      <c r="U181" s="125"/>
    </row>
    <row r="182" spans="5:21">
      <c r="E182" s="256"/>
      <c r="S182" s="125"/>
      <c r="T182" s="125"/>
      <c r="U182" s="125"/>
    </row>
    <row r="183" spans="5:21">
      <c r="E183" s="256"/>
      <c r="S183" s="125"/>
      <c r="T183" s="125"/>
      <c r="U183" s="125"/>
    </row>
    <row r="184" spans="5:21">
      <c r="E184" s="256"/>
      <c r="S184" s="125"/>
      <c r="T184" s="125"/>
      <c r="U184" s="125"/>
    </row>
    <row r="185" spans="5:21">
      <c r="E185" s="256"/>
      <c r="S185" s="125"/>
      <c r="T185" s="125"/>
      <c r="U185" s="125"/>
    </row>
    <row r="186" spans="5:21">
      <c r="E186" s="256"/>
      <c r="S186" s="125"/>
      <c r="T186" s="125"/>
      <c r="U186" s="125"/>
    </row>
    <row r="187" spans="5:21">
      <c r="E187" s="256"/>
      <c r="S187" s="125"/>
      <c r="T187" s="125"/>
      <c r="U187" s="125"/>
    </row>
    <row r="188" spans="5:21">
      <c r="E188" s="256"/>
      <c r="S188" s="125"/>
      <c r="T188" s="125"/>
      <c r="U188" s="125"/>
    </row>
    <row r="189" spans="5:21">
      <c r="E189" s="256"/>
      <c r="S189" s="125"/>
      <c r="T189" s="125"/>
      <c r="U189" s="125"/>
    </row>
    <row r="190" spans="5:21">
      <c r="E190" s="256"/>
      <c r="S190" s="125"/>
      <c r="T190" s="125"/>
      <c r="U190" s="125"/>
    </row>
    <row r="191" spans="5:21">
      <c r="E191" s="256"/>
      <c r="S191" s="125"/>
      <c r="T191" s="125"/>
      <c r="U191" s="125"/>
    </row>
    <row r="192" spans="5:21">
      <c r="E192" s="256"/>
      <c r="S192" s="125"/>
      <c r="T192" s="125"/>
      <c r="U192" s="125"/>
    </row>
    <row r="193" spans="5:21">
      <c r="E193" s="256"/>
      <c r="S193" s="125"/>
      <c r="T193" s="125"/>
      <c r="U193" s="125"/>
    </row>
    <row r="194" spans="5:21">
      <c r="E194" s="256"/>
      <c r="S194" s="125"/>
      <c r="T194" s="125"/>
      <c r="U194" s="125"/>
    </row>
    <row r="195" spans="5:21">
      <c r="E195" s="256"/>
      <c r="S195" s="125"/>
      <c r="T195" s="125"/>
      <c r="U195" s="125"/>
    </row>
    <row r="196" spans="5:21">
      <c r="E196" s="256"/>
      <c r="S196" s="125"/>
      <c r="T196" s="125"/>
      <c r="U196" s="125"/>
    </row>
    <row r="197" spans="5:21">
      <c r="E197" s="256"/>
      <c r="S197" s="125"/>
      <c r="T197" s="125"/>
      <c r="U197" s="125"/>
    </row>
    <row r="198" spans="5:21">
      <c r="E198" s="256"/>
      <c r="S198" s="125"/>
      <c r="T198" s="125"/>
      <c r="U198" s="125"/>
    </row>
    <row r="199" spans="5:21">
      <c r="E199" s="256"/>
      <c r="S199" s="125"/>
      <c r="T199" s="125"/>
      <c r="U199" s="125"/>
    </row>
    <row r="200" spans="5:21">
      <c r="E200" s="256"/>
      <c r="S200" s="125"/>
      <c r="T200" s="125"/>
      <c r="U200" s="125"/>
    </row>
    <row r="201" spans="5:21">
      <c r="E201" s="256"/>
      <c r="S201" s="125"/>
      <c r="T201" s="125"/>
      <c r="U201" s="125"/>
    </row>
    <row r="202" spans="5:21">
      <c r="E202" s="256"/>
      <c r="S202" s="125"/>
      <c r="T202" s="125"/>
      <c r="U202" s="125"/>
    </row>
    <row r="203" spans="5:21">
      <c r="E203" s="256"/>
      <c r="S203" s="125"/>
      <c r="T203" s="125"/>
      <c r="U203" s="125"/>
    </row>
    <row r="204" spans="5:21">
      <c r="E204" s="256"/>
      <c r="S204" s="125"/>
      <c r="T204" s="125"/>
      <c r="U204" s="125"/>
    </row>
    <row r="205" spans="5:21">
      <c r="E205" s="256"/>
      <c r="S205" s="125"/>
      <c r="T205" s="125"/>
      <c r="U205" s="125"/>
    </row>
    <row r="206" spans="5:21">
      <c r="E206" s="256"/>
    </row>
    <row r="207" spans="5:21">
      <c r="E207" s="256"/>
    </row>
    <row r="208" spans="5:21">
      <c r="E208" s="256"/>
    </row>
    <row r="209" spans="5:5">
      <c r="E209" s="256"/>
    </row>
    <row r="210" spans="5:5">
      <c r="E210" s="256"/>
    </row>
    <row r="211" spans="5:5">
      <c r="E211" s="256"/>
    </row>
    <row r="212" spans="5:5">
      <c r="E212" s="256"/>
    </row>
    <row r="213" spans="5:5">
      <c r="E213" s="256"/>
    </row>
    <row r="214" spans="5:5">
      <c r="E214" s="256"/>
    </row>
    <row r="215" spans="5:5">
      <c r="E215" s="256"/>
    </row>
    <row r="216" spans="5:5">
      <c r="E216" s="256"/>
    </row>
    <row r="217" spans="5:5">
      <c r="E217" s="256"/>
    </row>
    <row r="218" spans="5:5">
      <c r="E218" s="256"/>
    </row>
    <row r="219" spans="5:5">
      <c r="E219" s="256"/>
    </row>
    <row r="220" spans="5:5">
      <c r="E220" s="256"/>
    </row>
    <row r="221" spans="5:5">
      <c r="E221" s="256"/>
    </row>
    <row r="222" spans="5:5">
      <c r="E222" s="256"/>
    </row>
    <row r="223" spans="5:5">
      <c r="E223" s="256"/>
    </row>
    <row r="224" spans="5:5">
      <c r="E224" s="256"/>
    </row>
    <row r="225" spans="5:5">
      <c r="E225" s="256"/>
    </row>
    <row r="226" spans="5:5">
      <c r="E226" s="256"/>
    </row>
    <row r="227" spans="5:5">
      <c r="E227" s="256"/>
    </row>
    <row r="228" spans="5:5">
      <c r="E228" s="256"/>
    </row>
    <row r="229" spans="5:5">
      <c r="E229" s="256"/>
    </row>
    <row r="230" spans="5:5">
      <c r="E230" s="256"/>
    </row>
    <row r="231" spans="5:5">
      <c r="E231" s="256"/>
    </row>
    <row r="232" spans="5:5">
      <c r="E232" s="256"/>
    </row>
    <row r="233" spans="5:5">
      <c r="E233" s="256"/>
    </row>
    <row r="234" spans="5:5">
      <c r="E234" s="256"/>
    </row>
    <row r="235" spans="5:5">
      <c r="E235" s="256"/>
    </row>
    <row r="236" spans="5:5">
      <c r="E236" s="256"/>
    </row>
    <row r="237" spans="5:5">
      <c r="E237" s="256"/>
    </row>
    <row r="238" spans="5:5">
      <c r="E238" s="256"/>
    </row>
    <row r="239" spans="5:5">
      <c r="E239" s="256"/>
    </row>
    <row r="240" spans="5:5">
      <c r="E240" s="256"/>
    </row>
    <row r="241" spans="5:5">
      <c r="E241" s="256"/>
    </row>
    <row r="242" spans="5:5">
      <c r="E242" s="256"/>
    </row>
    <row r="243" spans="5:5">
      <c r="E243" s="256"/>
    </row>
    <row r="244" spans="5:5">
      <c r="E244" s="256"/>
    </row>
    <row r="245" spans="5:5">
      <c r="E245" s="256"/>
    </row>
    <row r="246" spans="5:5">
      <c r="E246" s="256"/>
    </row>
    <row r="247" spans="5:5">
      <c r="E247" s="256"/>
    </row>
    <row r="248" spans="5:5">
      <c r="E248" s="256"/>
    </row>
    <row r="249" spans="5:5">
      <c r="E249" s="256"/>
    </row>
    <row r="250" spans="5:5">
      <c r="E250" s="256"/>
    </row>
    <row r="251" spans="5:5">
      <c r="E251" s="256"/>
    </row>
    <row r="252" spans="5:5">
      <c r="E252" s="256"/>
    </row>
    <row r="253" spans="5:5">
      <c r="E253" s="256"/>
    </row>
    <row r="254" spans="5:5">
      <c r="E254" s="256"/>
    </row>
    <row r="255" spans="5:5">
      <c r="E255" s="256"/>
    </row>
    <row r="256" spans="5:5">
      <c r="E256" s="256"/>
    </row>
    <row r="257" spans="5:5">
      <c r="E257" s="256"/>
    </row>
    <row r="258" spans="5:5">
      <c r="E258" s="256"/>
    </row>
    <row r="259" spans="5:5">
      <c r="E259" s="256"/>
    </row>
    <row r="260" spans="5:5">
      <c r="E260" s="256"/>
    </row>
    <row r="261" spans="5:5">
      <c r="E261" s="256"/>
    </row>
    <row r="262" spans="5:5">
      <c r="E262" s="256"/>
    </row>
  </sheetData>
  <dataConsolidate/>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F6" activePane="bottomRight" state="frozen"/>
      <selection pane="bottomRight" activeCell="D2" sqref="D2"/>
      <pageMargins left="0" right="0" top="0" bottom="0" header="0" footer="0"/>
      <pageSetup paperSize="9" orientation="portrait" r:id="rId2"/>
    </customSheetView>
    <customSheetView guid="{D97B1299-69D0-4EE0-B673-CCF74742F96B}" scale="85" state="hidden">
      <selection activeCell="C2" sqref="C2:E2"/>
      <pageMargins left="0" right="0" top="0" bottom="0" header="0" footer="0"/>
      <pageSetup paperSize="9" orientation="portrait" r:id="rId3"/>
    </customSheetView>
    <customSheetView guid="{3F0A4FBA-5323-448F-A023-B3E14C54064C}" showGridLines="0">
      <pane xSplit="3" ySplit="5" topLeftCell="F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F6" activePane="bottomRight" state="frozen"/>
      <selection pane="bottomRight" activeCell="D2" sqref="D2"/>
      <pageMargins left="0" right="0" top="0" bottom="0" header="0" footer="0"/>
      <pageSetup paperSize="9" orientation="portrait" r:id="rId5"/>
    </customSheetView>
    <customSheetView guid="{0E935136-9A80-44B6-88D5-61E64D742049}" showGridLines="0" state="hidden">
      <pane xSplit="3" ySplit="5" topLeftCell="F6" activePane="bottomRight" state="frozen"/>
      <selection pane="bottomRight" activeCell="D2" sqref="D2"/>
      <pageMargins left="0" right="0" top="0" bottom="0" header="0" footer="0"/>
      <pageSetup paperSize="9" orientation="portrait" r:id="rId6"/>
    </customSheetView>
    <customSheetView guid="{1C16EB38-F785-4168-9938-104594734038}" showGridLines="0" state="hidden">
      <pane xSplit="3" ySplit="5" topLeftCell="F6" activePane="bottomRight" state="frozen"/>
      <selection pane="bottomRight" activeCell="D2" sqref="D2"/>
      <pageMargins left="0" right="0" top="0" bottom="0" header="0" footer="0"/>
      <pageSetup paperSize="9" orientation="portrait" r:id="rId7"/>
    </customSheetView>
    <customSheetView guid="{EECBF9DF-6D77-4263-85DA-71E40216BADD}" showGridLines="0" state="hidden">
      <pane xSplit="3" ySplit="5" topLeftCell="F6" activePane="bottomRight" state="frozen"/>
      <selection pane="bottomRight" activeCell="D2" sqref="D2"/>
      <pageMargins left="0" right="0" top="0" bottom="0" header="0" footer="0"/>
      <pageSetup paperSize="9" orientation="portrait" r:id="rId8"/>
    </customSheetView>
    <customSheetView guid="{F03309BC-D3FA-4CF2-833B-D6D9A95FE1FB}" showGridLines="0" state="hidden">
      <pane xSplit="3" ySplit="5" topLeftCell="F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custom" allowBlank="1" showInputMessage="1" showErrorMessage="1" error="Please do not change this formula" prompt="Please do not change this formula" sqref="W4 V1:V4 R6:R8 S5:V5 O1:R4 N1:N1048576 R14:R1048576 O6:Q1048576 V6:V1048576" xr:uid="{A922D6BC-DE04-4259-9952-D3E869B93687}">
      <formula1>"Please do not change this formula"</formula1>
    </dataValidation>
    <dataValidation type="list" allowBlank="1" showInputMessage="1" showErrorMessage="1" sqref="D70:D74 D33:D42 D10:D17 D77:D81 D20:D30 D84:D91 D8 D52:D57 D45:D49 D60:D67" xr:uid="{DADD7D49-D520-40F5-892C-D26BF7D08FB4}">
      <formula1>Flow_units</formula1>
    </dataValidation>
    <dataValidation type="custom" allowBlank="1" showInputMessage="1" showErrorMessage="1" error="Please do not change" sqref="R9:R13" xr:uid="{72895127-8990-4533-B323-F8EA93F599F5}">
      <formula1>"Please do not change"</formula1>
    </dataValidation>
    <dataValidation type="custom" allowBlank="1" showInputMessage="1" showErrorMessage="1" error="Please do not change this formula" sqref="O5:R5" xr:uid="{A20AD2AC-BC9F-4E1D-8FA9-04F4BE625EA4}">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4:T92 S7:T68" xr:uid="{3661D0DB-624E-4C16-8998-1460223B9327}">
      <formula1>0</formula1>
    </dataValidation>
  </dataValidations>
  <hyperlinks>
    <hyperlink ref="I2:J2" location="GHG_FOSSIL_NG_REFORM_CCS!A1" display="Go to the summary tab of this pathway" xr:uid="{7014A66A-524A-4173-AFD4-37619EC61EC0}"/>
    <hyperlink ref="I2:K2" location="GHG_NG_SPLITTING!A1" display="Go to the summary GHG worksheet" xr:uid="{EE30EEAB-8BBD-4722-8C07-D63F755C571D}"/>
  </hyperlinks>
  <pageMargins left="0" right="0" top="0" bottom="0" header="0" footer="0"/>
  <pageSetup paperSize="9" orientation="portrait" r:id="rId10"/>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6" id="{00000000-000E-0000-1B00-000004000000}">
            <xm:f>AND(Path&lt;&gt;Units!$B$129,Master_Switch="On")</xm:f>
            <x14:dxf>
              <font>
                <color theme="0"/>
              </font>
              <fill>
                <patternFill>
                  <bgColor theme="0"/>
                </patternFill>
              </fill>
              <border>
                <left/>
                <right/>
                <top/>
                <bottom/>
                <vertical/>
                <horizontal/>
              </border>
            </x14:dxf>
          </x14:cfRule>
          <xm:sqref>A2:H2 L2:XFD2 A3:XFD116</xm:sqref>
        </x14:conditionalFormatting>
        <x14:conditionalFormatting xmlns:xm="http://schemas.microsoft.com/office/excel/2006/main">
          <x14:cfRule type="expression" priority="5" id="{0A01FC82-8F1F-457B-A79F-56A5FE60058D}">
            <xm:f>AND(GHG_NG_SPLITTING!$D$7="Default",Master_Switch="On")</xm:f>
            <x14:dxf>
              <font>
                <color theme="0"/>
              </font>
              <fill>
                <patternFill>
                  <bgColor theme="0"/>
                </patternFill>
              </fill>
            </x14:dxf>
          </x14:cfRule>
          <xm:sqref>B21:X30</xm:sqref>
        </x14:conditionalFormatting>
        <x14:conditionalFormatting xmlns:xm="http://schemas.microsoft.com/office/excel/2006/main">
          <x14:cfRule type="expression" priority="3" id="{ABE1D42B-8283-409C-A021-0E0FEA54CDAF}">
            <xm:f>AND(GHG_NG_SPLITTING!$D$8="Default",Master_Switch="On")</xm:f>
            <x14:dxf>
              <font>
                <color theme="0"/>
              </font>
              <fill>
                <patternFill>
                  <bgColor theme="0"/>
                </patternFill>
              </fill>
            </x14:dxf>
          </x14:cfRule>
          <xm:sqref>B33:X42</xm:sqref>
        </x14:conditionalFormatting>
        <x14:conditionalFormatting xmlns:xm="http://schemas.microsoft.com/office/excel/2006/main">
          <x14:cfRule type="expression" priority="1" id="{0F499F4D-9E42-4BAA-8FE8-6BC473CB0FE7}">
            <xm:f>AND(Path&lt;&gt;Units!$B$126,Path&lt;&gt;Units!$B$127,Path&lt;&gt;Units!$B$128, Path&lt;&gt;Units!$B$129,Master_Switch="On")</xm:f>
            <x14:dxf>
              <font>
                <color theme="0"/>
              </font>
              <fill>
                <patternFill>
                  <bgColor theme="0"/>
                </patternFill>
              </fill>
              <border>
                <left/>
                <right/>
                <top/>
                <bottom/>
                <vertical/>
                <horizontal/>
              </border>
            </x14:dxf>
          </x14:cfRule>
          <xm:sqref>I2:K2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7973F66-6114-478D-AAC4-13FE72E8018A}">
          <x14:formula1>
            <xm:f>Units!$Z$120</xm:f>
          </x14:formula1>
          <xm:sqref>D9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2504E-5A69-4739-BC5F-59D45D672028}">
  <sheetPr codeName="Sheet55">
    <tabColor theme="3" tint="-0.249977111117893"/>
  </sheetPr>
  <dimension ref="A1:E19"/>
  <sheetViews>
    <sheetView showGridLines="0" zoomScaleNormal="100" workbookViewId="0"/>
  </sheetViews>
  <sheetFormatPr defaultColWidth="8.81640625" defaultRowHeight="14.5"/>
  <cols>
    <col min="1" max="1" width="6.54296875" customWidth="1"/>
    <col min="2" max="2" width="92.81640625" customWidth="1"/>
    <col min="3" max="3" width="41.1796875" customWidth="1"/>
    <col min="4" max="10" width="21.1796875" customWidth="1"/>
  </cols>
  <sheetData>
    <row r="1" spans="1:5" ht="31">
      <c r="A1" s="571" t="str">
        <f>IF(AND(OR(Path&lt;&gt;Units!B130,AND(Path=Units!B130, Initial_questions!$E$27&lt;&gt;Units!$L$122)), Master_Switch="On"),"User should not fill in this sheet, but switch to other non-blank GHG worksheets","")</f>
        <v>User should not fill in this sheet, but switch to other non-blank GHG worksheets</v>
      </c>
    </row>
    <row r="2" spans="1:5" ht="21">
      <c r="A2" s="616"/>
      <c r="C2" s="729" t="s">
        <v>1093</v>
      </c>
      <c r="D2" s="731"/>
      <c r="E2" s="732"/>
    </row>
    <row r="3" spans="1:5" ht="31">
      <c r="A3" s="571"/>
    </row>
    <row r="4" spans="1:5">
      <c r="B4" s="28" t="s">
        <v>1153</v>
      </c>
    </row>
    <row r="5" spans="1:5" ht="16.5">
      <c r="B5" t="s">
        <v>1154</v>
      </c>
    </row>
    <row r="7" spans="1:5" ht="18" customHeight="1">
      <c r="B7" t="s">
        <v>1155</v>
      </c>
      <c r="C7" s="581" t="str">
        <f>"Heating using natural gas from the UK gas grid"</f>
        <v>Heating using natural gas from the UK gas grid</v>
      </c>
      <c r="D7" s="560" t="s">
        <v>1156</v>
      </c>
    </row>
    <row r="8" spans="1:5" ht="16.5">
      <c r="B8" t="s">
        <v>1157</v>
      </c>
      <c r="C8" s="581">
        <v>1</v>
      </c>
      <c r="D8" s="560" t="s">
        <v>1158</v>
      </c>
    </row>
    <row r="9" spans="1:5" ht="16.5">
      <c r="B9" t="s">
        <v>1159</v>
      </c>
      <c r="C9" s="582">
        <f>('Typical data'!$C$252+'Typical data'!$C$309)</f>
        <v>65.3</v>
      </c>
      <c r="D9" t="s">
        <v>1160</v>
      </c>
    </row>
    <row r="10" spans="1:5" ht="16.5">
      <c r="B10" t="s">
        <v>1161</v>
      </c>
      <c r="C10" s="561" t="s">
        <v>1080</v>
      </c>
      <c r="D10" t="s">
        <v>1162</v>
      </c>
    </row>
    <row r="13" spans="1:5">
      <c r="B13" s="560" t="s">
        <v>1163</v>
      </c>
    </row>
    <row r="14" spans="1:5">
      <c r="B14" s="560" t="s">
        <v>1164</v>
      </c>
    </row>
    <row r="16" spans="1:5">
      <c r="B16" s="560" t="s">
        <v>1165</v>
      </c>
    </row>
    <row r="17" spans="2:2">
      <c r="B17" s="560"/>
    </row>
    <row r="18" spans="2:2">
      <c r="B18" s="53"/>
    </row>
    <row r="19" spans="2:2">
      <c r="B19" s="53"/>
    </row>
  </sheetData>
  <customSheetViews>
    <customSheetView guid="{2D920366-22B2-4182-A65D-0EDBE614FB37}" showGridLines="0">
      <pageMargins left="0" right="0" top="0" bottom="0" header="0" footer="0"/>
      <pageSetup paperSize="9" orientation="portrait" r:id="rId1"/>
    </customSheetView>
    <customSheetView guid="{F468A2FD-7987-4A9D-8BAE-1AACE523607F}" state="hidden">
      <selection activeCell="D2" sqref="D2"/>
      <pageMargins left="0" right="0" top="0" bottom="0" header="0" footer="0"/>
      <pageSetup paperSize="9" orientation="portrait" r:id="rId2"/>
    </customSheetView>
    <customSheetView guid="{D97B1299-69D0-4EE0-B673-CCF74742F96B}">
      <selection activeCell="C2" sqref="C2:E2"/>
      <pageMargins left="0" right="0" top="0" bottom="0" header="0" footer="0"/>
      <pageSetup paperSize="9" orientation="portrait" r:id="rId3"/>
    </customSheetView>
    <customSheetView guid="{3F0A4FBA-5323-448F-A023-B3E14C54064C}" state="hidden">
      <selection activeCell="C2" sqref="C2:E2"/>
      <pageMargins left="0" right="0" top="0" bottom="0" header="0" footer="0"/>
      <pageSetup paperSize="9" orientation="portrait" r:id="rId4"/>
    </customSheetView>
    <customSheetView guid="{E6EFD927-84B2-4D06-BB59-59D9DF522DA2}" scale="80" state="hidden">
      <selection activeCell="C2" sqref="C2:E2"/>
      <pageMargins left="0" right="0" top="0" bottom="0" header="0" footer="0"/>
      <pageSetup paperSize="9" orientation="portrait" r:id="rId5"/>
    </customSheetView>
    <customSheetView guid="{0E935136-9A80-44B6-88D5-61E64D742049}" showGridLines="0" state="hidden">
      <selection activeCell="I2" sqref="I2:K2"/>
      <pageMargins left="0" right="0" top="0" bottom="0" header="0" footer="0"/>
      <pageSetup paperSize="9" orientation="portrait" r:id="rId6"/>
    </customSheetView>
    <customSheetView guid="{1C16EB38-F785-4168-9938-104594734038}" showGridLines="0" state="hidden">
      <selection activeCell="C2" sqref="C2:E2"/>
      <pageMargins left="0" right="0" top="0" bottom="0" header="0" footer="0"/>
      <pageSetup paperSize="9" orientation="portrait" r:id="rId7"/>
    </customSheetView>
    <customSheetView guid="{EECBF9DF-6D77-4263-85DA-71E40216BADD}" state="hidden">
      <selection activeCell="C2" sqref="C2:E2"/>
      <pageMargins left="0" right="0" top="0" bottom="0" header="0" footer="0"/>
      <pageSetup paperSize="9" orientation="portrait" r:id="rId8"/>
    </customSheetView>
    <customSheetView guid="{F03309BC-D3FA-4CF2-833B-D6D9A95FE1FB}" state="hidden">
      <selection activeCell="D2" sqref="D2"/>
      <pageMargins left="0" right="0" top="0" bottom="0" header="0" footer="0"/>
      <pageSetup paperSize="9" orientation="portrait" r:id="rId9"/>
    </customSheetView>
  </customSheetViews>
  <mergeCells count="1">
    <mergeCell ref="C2:E2"/>
  </mergeCells>
  <dataValidations count="1">
    <dataValidation type="decimal" operator="greaterThan" allowBlank="1" showInputMessage="1" showErrorMessage="1" errorTitle="Negative value used" error="Efficiency, displaced GHG intensity and CO2 emitted from ROG fossil feedstock carbon values must all be non-negative" sqref="C8 C10" xr:uid="{8B52FF8C-7564-4C9D-A232-5D72619C11A8}">
      <formula1>0</formula1>
    </dataValidation>
  </dataValidations>
  <hyperlinks>
    <hyperlink ref="C2:D2" location="GHG_FOSSIL_NG_REFORM_CCS!A1" display="Go to the summary tab of this pathway" xr:uid="{CC5090B0-7E12-45B5-AB56-0BC00EEBC06B}"/>
    <hyperlink ref="C2:E2" location="ROG_Processing!A1" display="Go to the next step of this pathway" xr:uid="{061A3F76-2122-4926-98B3-466D4A7F71FA}"/>
  </hyperlinks>
  <pageMargins left="0" right="0" top="0" bottom="0" header="0" footer="0"/>
  <pageSetup paperSize="9" orientation="portrait" r:id="rId10"/>
  <ignoredErrors>
    <ignoredError sqref="C7" unlockedFormula="1"/>
  </ignoredErrors>
  <extLst>
    <ext xmlns:x14="http://schemas.microsoft.com/office/spreadsheetml/2009/9/main" uri="{78C0D931-6437-407d-A8EE-F0AAD7539E65}">
      <x14:conditionalFormattings>
        <x14:conditionalFormatting xmlns:xm="http://schemas.microsoft.com/office/excel/2006/main">
          <x14:cfRule type="expression" priority="260" id="{A2A07DCE-C531-427B-8326-30E0D943A268}">
            <xm:f>AND(OR(Path&lt;&gt;Units!$B$130,AND(Path=Units!$B$130,Initial_questions!$E$27&lt;&gt;Units!$L$122)),Master_Switch="On")</xm:f>
            <x14:dxf>
              <font>
                <strike val="0"/>
                <color theme="0"/>
              </font>
              <fill>
                <patternFill>
                  <bgColor theme="0"/>
                </patternFill>
              </fill>
              <border>
                <left/>
                <right/>
                <top/>
                <bottom/>
              </border>
            </x14:dxf>
          </x14:cfRule>
          <xm:sqref>A2:XFD100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theme="8" tint="0.59999389629810485"/>
  </sheetPr>
  <dimension ref="B1:Z171"/>
  <sheetViews>
    <sheetView showGridLines="0" zoomScaleNormal="100" workbookViewId="0"/>
  </sheetViews>
  <sheetFormatPr defaultColWidth="7.1796875" defaultRowHeight="14.5"/>
  <cols>
    <col min="1" max="1" width="8.54296875" customWidth="1"/>
    <col min="2" max="2" width="19.54296875" customWidth="1"/>
    <col min="3" max="3" width="8.81640625" customWidth="1"/>
    <col min="4" max="4" width="8.54296875" customWidth="1"/>
    <col min="9" max="15" width="7.1796875" customWidth="1"/>
    <col min="17" max="17" width="6" customWidth="1"/>
    <col min="19" max="19" width="8.81640625" customWidth="1"/>
    <col min="23" max="23" width="17.54296875" customWidth="1"/>
    <col min="24" max="24" width="18.453125" customWidth="1"/>
    <col min="25" max="25" width="22.81640625" customWidth="1"/>
  </cols>
  <sheetData>
    <row r="1" spans="2:22" ht="15" thickBot="1">
      <c r="B1" s="3" t="s">
        <v>104</v>
      </c>
      <c r="C1" s="3"/>
      <c r="D1" s="3"/>
    </row>
    <row r="2" spans="2:22" ht="15.5" thickTop="1" thickBot="1">
      <c r="B2" s="177" t="s">
        <v>105</v>
      </c>
      <c r="C2" s="177"/>
      <c r="D2" s="177"/>
      <c r="E2" s="177"/>
      <c r="F2" s="177"/>
      <c r="G2" s="177"/>
      <c r="H2" s="177"/>
    </row>
    <row r="3" spans="2:22">
      <c r="B3" s="30"/>
    </row>
    <row r="4" spans="2:22">
      <c r="B4" s="30" t="s">
        <v>106</v>
      </c>
    </row>
    <row r="5" spans="2:22">
      <c r="B5" s="133"/>
      <c r="C5" s="635" t="s">
        <v>107</v>
      </c>
      <c r="D5" s="636"/>
      <c r="E5" s="636"/>
      <c r="F5" s="636"/>
      <c r="G5" s="636"/>
      <c r="H5" s="637"/>
    </row>
    <row r="6" spans="2:22">
      <c r="B6" s="144"/>
      <c r="C6" s="638" t="s">
        <v>108</v>
      </c>
      <c r="D6" s="639"/>
      <c r="E6" s="639"/>
      <c r="F6" s="639"/>
      <c r="G6" s="639"/>
      <c r="H6" s="640"/>
    </row>
    <row r="7" spans="2:22">
      <c r="B7" s="134"/>
      <c r="C7" s="635" t="s">
        <v>109</v>
      </c>
      <c r="D7" s="636"/>
      <c r="E7" s="636"/>
      <c r="F7" s="636"/>
      <c r="G7" s="636"/>
      <c r="H7" s="637"/>
    </row>
    <row r="9" spans="2:22">
      <c r="B9" s="28"/>
    </row>
    <row r="10" spans="2:22" ht="15" thickBot="1">
      <c r="B10" s="176" t="s">
        <v>110</v>
      </c>
      <c r="C10" s="176"/>
    </row>
    <row r="11" spans="2:22" ht="15" thickTop="1"/>
    <row r="12" spans="2:22">
      <c r="B12" s="641" t="s">
        <v>111</v>
      </c>
      <c r="C12" s="641"/>
      <c r="D12" s="641"/>
      <c r="E12" s="641"/>
      <c r="F12" s="641"/>
      <c r="G12" s="641"/>
      <c r="H12" s="641"/>
      <c r="I12" s="641"/>
      <c r="J12" s="641"/>
      <c r="K12" s="641"/>
      <c r="L12" s="641"/>
      <c r="M12" s="641"/>
      <c r="N12" s="641"/>
      <c r="O12" s="641"/>
      <c r="P12" s="641"/>
      <c r="Q12" s="641"/>
      <c r="R12" s="641"/>
      <c r="S12" s="641"/>
      <c r="T12" s="641"/>
      <c r="U12" s="641"/>
      <c r="V12" s="641"/>
    </row>
    <row r="13" spans="2:22">
      <c r="B13" t="s">
        <v>112</v>
      </c>
      <c r="C13" s="4"/>
      <c r="D13" s="4"/>
    </row>
    <row r="14" spans="2:22">
      <c r="B14" s="130"/>
      <c r="C14" s="130"/>
      <c r="D14" s="130"/>
    </row>
    <row r="18" spans="2:25">
      <c r="C18" s="124"/>
    </row>
    <row r="19" spans="2:25">
      <c r="B19" s="28"/>
      <c r="C19" s="28"/>
      <c r="D19" s="28"/>
    </row>
    <row r="20" spans="2:25">
      <c r="C20" s="124"/>
    </row>
    <row r="22" spans="2:25">
      <c r="C22" s="124"/>
    </row>
    <row r="23" spans="2:25" ht="31.5" customHeight="1">
      <c r="B23" s="643" t="s">
        <v>113</v>
      </c>
      <c r="C23" s="643"/>
      <c r="D23" s="643"/>
      <c r="E23" s="643"/>
      <c r="F23" s="643"/>
      <c r="G23" s="643"/>
      <c r="H23" s="643"/>
      <c r="I23" s="643"/>
      <c r="J23" s="643"/>
      <c r="K23" s="643"/>
      <c r="L23" s="643"/>
      <c r="M23" s="643"/>
      <c r="N23" s="643"/>
      <c r="O23" s="643"/>
      <c r="P23" s="643"/>
      <c r="Q23" s="643"/>
      <c r="R23" s="643"/>
      <c r="S23" s="643"/>
      <c r="T23" s="643"/>
      <c r="U23" s="643"/>
      <c r="V23" s="643"/>
      <c r="W23" s="643"/>
      <c r="X23" s="643"/>
      <c r="Y23" s="643"/>
    </row>
    <row r="24" spans="2:25">
      <c r="B24" s="642" t="s">
        <v>114</v>
      </c>
      <c r="C24" s="643"/>
      <c r="D24" s="643"/>
      <c r="E24" s="643"/>
      <c r="F24" s="643"/>
      <c r="G24" s="643"/>
      <c r="H24" s="643"/>
      <c r="I24" s="643"/>
      <c r="J24" s="643"/>
      <c r="K24" s="643"/>
      <c r="L24" s="643"/>
      <c r="M24" s="643"/>
      <c r="N24" s="643"/>
      <c r="O24" s="643"/>
      <c r="P24" s="643"/>
      <c r="Q24" s="643"/>
      <c r="R24" s="643"/>
      <c r="S24" s="643"/>
      <c r="T24" s="643"/>
      <c r="U24" s="643"/>
      <c r="V24" s="643"/>
      <c r="W24" s="643"/>
      <c r="X24" s="643"/>
      <c r="Y24" s="643"/>
    </row>
    <row r="25" spans="2:25">
      <c r="C25" s="124"/>
    </row>
    <row r="26" spans="2:25">
      <c r="C26" s="124"/>
    </row>
    <row r="27" spans="2:25">
      <c r="C27" s="124"/>
    </row>
    <row r="28" spans="2:25">
      <c r="C28" s="124"/>
    </row>
    <row r="29" spans="2:25">
      <c r="C29" s="124"/>
    </row>
    <row r="30" spans="2:25">
      <c r="C30" s="124"/>
    </row>
    <row r="31" spans="2:25">
      <c r="C31" s="124"/>
    </row>
    <row r="32" spans="2:25">
      <c r="C32" s="124"/>
    </row>
    <row r="33" spans="2:26">
      <c r="C33" s="124"/>
    </row>
    <row r="34" spans="2:26">
      <c r="C34" s="124"/>
    </row>
    <row r="35" spans="2:26" ht="59.5" customHeight="1">
      <c r="C35" s="124"/>
    </row>
    <row r="36" spans="2:26">
      <c r="C36" s="124"/>
    </row>
    <row r="37" spans="2:26">
      <c r="C37" s="124"/>
    </row>
    <row r="38" spans="2:26">
      <c r="C38" s="124"/>
    </row>
    <row r="39" spans="2:26">
      <c r="C39" s="124"/>
    </row>
    <row r="40" spans="2:26">
      <c r="B40" t="s">
        <v>115</v>
      </c>
      <c r="C40" s="124"/>
    </row>
    <row r="41" spans="2:26">
      <c r="C41" s="124"/>
    </row>
    <row r="42" spans="2:26" ht="31.9" customHeight="1">
      <c r="B42" s="643" t="s">
        <v>116</v>
      </c>
      <c r="C42" s="643"/>
      <c r="D42" s="643"/>
      <c r="E42" s="643"/>
      <c r="F42" s="643"/>
      <c r="G42" s="643"/>
      <c r="H42" s="643"/>
      <c r="I42" s="643"/>
      <c r="J42" s="643"/>
      <c r="K42" s="643"/>
      <c r="L42" s="643"/>
      <c r="M42" s="643"/>
      <c r="N42" s="643"/>
      <c r="O42" s="643"/>
      <c r="P42" s="643"/>
      <c r="Q42" s="643"/>
      <c r="R42" s="643"/>
      <c r="S42" s="643"/>
      <c r="T42" s="643"/>
      <c r="U42" s="643"/>
      <c r="V42" s="643"/>
      <c r="W42" s="643"/>
      <c r="X42" s="643"/>
      <c r="Y42" s="643"/>
    </row>
    <row r="43" spans="2:26">
      <c r="C43" s="124"/>
    </row>
    <row r="44" spans="2:26">
      <c r="B44" s="641" t="s">
        <v>117</v>
      </c>
      <c r="C44" s="641"/>
      <c r="D44" s="641"/>
      <c r="E44" s="641"/>
      <c r="F44" s="641"/>
      <c r="G44" s="641"/>
      <c r="H44" s="641"/>
      <c r="I44" s="641"/>
      <c r="J44" s="641"/>
      <c r="K44" s="641"/>
      <c r="L44" s="641"/>
      <c r="M44" s="641"/>
      <c r="N44" s="641"/>
      <c r="O44" s="641"/>
      <c r="P44" s="641"/>
      <c r="Q44" s="641"/>
      <c r="R44" s="641"/>
      <c r="S44" s="641"/>
      <c r="T44" s="641"/>
      <c r="U44" s="641"/>
      <c r="V44" s="641"/>
      <c r="W44" s="641"/>
      <c r="X44" s="641"/>
      <c r="Y44" s="641"/>
      <c r="Z44" s="641"/>
    </row>
    <row r="62" spans="2:22">
      <c r="B62" s="644"/>
      <c r="C62" s="644"/>
      <c r="D62" s="644"/>
      <c r="E62" s="644"/>
      <c r="F62" s="644"/>
      <c r="G62" s="644"/>
      <c r="H62" s="644"/>
      <c r="I62" s="644"/>
      <c r="J62" s="644"/>
      <c r="K62" s="644"/>
      <c r="L62" s="644"/>
      <c r="M62" s="644"/>
      <c r="N62" s="644"/>
      <c r="O62" s="644"/>
      <c r="P62" s="644"/>
      <c r="Q62" s="644"/>
      <c r="R62" s="644"/>
      <c r="S62" s="644"/>
      <c r="T62" s="644"/>
      <c r="U62" s="644"/>
      <c r="V62" s="644"/>
    </row>
    <row r="81" spans="2:25">
      <c r="B81" s="645" t="s">
        <v>118</v>
      </c>
      <c r="C81" s="645"/>
      <c r="D81" s="645"/>
      <c r="E81" s="645"/>
      <c r="F81" s="645"/>
      <c r="G81" s="645"/>
      <c r="H81" s="645"/>
      <c r="I81" s="645"/>
      <c r="J81" s="645"/>
      <c r="K81" s="645"/>
      <c r="L81" s="645"/>
      <c r="M81" s="645"/>
      <c r="N81" s="645"/>
      <c r="O81" s="645"/>
      <c r="P81" s="645"/>
      <c r="Q81" s="645"/>
      <c r="R81" s="645"/>
      <c r="S81" s="645"/>
      <c r="T81" s="645"/>
      <c r="U81" s="645"/>
      <c r="V81" s="645"/>
      <c r="W81" s="645"/>
      <c r="X81" s="645"/>
      <c r="Y81" s="645"/>
    </row>
    <row r="90" spans="2:25">
      <c r="B90" s="641"/>
      <c r="C90" s="641"/>
      <c r="D90" s="641"/>
      <c r="E90" s="641"/>
      <c r="F90" s="641"/>
      <c r="G90" s="641"/>
      <c r="H90" s="641"/>
      <c r="I90" s="641"/>
      <c r="J90" s="641"/>
      <c r="K90" s="641"/>
      <c r="L90" s="641"/>
      <c r="M90" s="641"/>
      <c r="N90" s="641"/>
      <c r="O90" s="641"/>
      <c r="P90" s="641"/>
      <c r="Q90" s="641"/>
      <c r="R90" s="641"/>
      <c r="S90" s="641"/>
      <c r="T90" s="641"/>
      <c r="U90" s="641"/>
      <c r="V90" s="641"/>
    </row>
    <row r="111" spans="2:2">
      <c r="B111" s="28" t="s">
        <v>119</v>
      </c>
    </row>
    <row r="121" ht="125.15" customHeight="1"/>
    <row r="122" ht="15" customHeight="1"/>
    <row r="123" ht="15" customHeight="1"/>
    <row r="124" ht="15" customHeight="1"/>
    <row r="125" ht="15" customHeight="1"/>
    <row r="126" ht="15" customHeight="1"/>
    <row r="127" ht="15" customHeight="1"/>
    <row r="128" ht="15" customHeight="1"/>
    <row r="129" spans="2:25" ht="15" customHeight="1"/>
    <row r="130" spans="2:25" ht="15" customHeight="1"/>
    <row r="131" spans="2:25" ht="15" customHeight="1"/>
    <row r="132" spans="2:25" ht="15" customHeight="1"/>
    <row r="133" spans="2:25" ht="43.5" customHeight="1">
      <c r="B133" s="643" t="s">
        <v>120</v>
      </c>
      <c r="C133" s="643"/>
      <c r="D133" s="643"/>
      <c r="E133" s="643"/>
      <c r="F133" s="643"/>
      <c r="G133" s="643"/>
      <c r="H133" s="643"/>
      <c r="I133" s="643"/>
      <c r="J133" s="643"/>
      <c r="K133" s="643"/>
      <c r="L133" s="643"/>
      <c r="M133" s="643"/>
      <c r="N133" s="643"/>
      <c r="O133" s="643"/>
      <c r="P133" s="643"/>
      <c r="Q133" s="643"/>
      <c r="R133" s="643"/>
      <c r="S133" s="643"/>
      <c r="T133" s="643"/>
      <c r="U133" s="643"/>
      <c r="V133" s="643"/>
      <c r="W133" s="643"/>
      <c r="X133" s="643"/>
      <c r="Y133" s="643"/>
    </row>
    <row r="170" spans="2:25" ht="68.150000000000006" customHeight="1">
      <c r="B170" s="643" t="s">
        <v>121</v>
      </c>
      <c r="C170" s="643"/>
      <c r="D170" s="643"/>
      <c r="E170" s="643"/>
      <c r="F170" s="643"/>
      <c r="G170" s="643"/>
      <c r="H170" s="643"/>
      <c r="I170" s="643"/>
      <c r="J170" s="643"/>
      <c r="K170" s="643"/>
      <c r="L170" s="643"/>
      <c r="M170" s="643"/>
      <c r="N170" s="643"/>
      <c r="O170" s="643"/>
      <c r="P170" s="643"/>
      <c r="Q170" s="643"/>
      <c r="R170" s="643"/>
      <c r="S170" s="643"/>
      <c r="T170" s="643"/>
      <c r="U170" s="643"/>
      <c r="V170" s="643"/>
      <c r="W170" s="643"/>
      <c r="X170" s="643"/>
      <c r="Y170" s="643"/>
    </row>
    <row r="171" spans="2:25">
      <c r="B171" s="28" t="s">
        <v>122</v>
      </c>
    </row>
  </sheetData>
  <customSheetViews>
    <customSheetView guid="{2D920366-22B2-4182-A65D-0EDBE614FB37}" showGridLines="0">
      <pageMargins left="0" right="0" top="0" bottom="0" header="0" footer="0"/>
      <pageSetup paperSize="9" orientation="portrait" r:id="rId1"/>
    </customSheetView>
    <customSheetView guid="{F468A2FD-7987-4A9D-8BAE-1AACE523607F}" showGridLines="0">
      <selection activeCell="D1" sqref="D1"/>
      <pageMargins left="0" right="0" top="0" bottom="0" header="0" footer="0"/>
      <pageSetup paperSize="9" orientation="portrait" r:id="rId2"/>
    </customSheetView>
    <customSheetView guid="{D97B1299-69D0-4EE0-B673-CCF74742F96B}">
      <selection activeCell="D2" sqref="D2"/>
      <pageMargins left="0" right="0" top="0" bottom="0" header="0" footer="0"/>
      <pageSetup paperSize="9" orientation="portrait" r:id="rId3"/>
    </customSheetView>
    <customSheetView guid="{3F0A4FBA-5323-448F-A023-B3E14C54064C}" showGridLines="0">
      <selection activeCell="D2" sqref="D2"/>
      <pageMargins left="0" right="0" top="0" bottom="0" header="0" footer="0"/>
      <pageSetup paperSize="9" orientation="portrait" r:id="rId4"/>
    </customSheetView>
    <customSheetView guid="{E6EFD927-84B2-4D06-BB59-59D9DF522DA2}" showGridLines="0">
      <selection activeCell="D1" sqref="D1"/>
      <pageMargins left="0" right="0" top="0" bottom="0" header="0" footer="0"/>
      <pageSetup paperSize="9" orientation="portrait" r:id="rId5"/>
    </customSheetView>
    <customSheetView guid="{0E935136-9A80-44B6-88D5-61E64D742049}" showGridLines="0">
      <selection activeCell="D1" sqref="D1"/>
      <pageMargins left="0" right="0" top="0" bottom="0" header="0" footer="0"/>
      <pageSetup paperSize="9" orientation="portrait" r:id="rId6"/>
    </customSheetView>
    <customSheetView guid="{1C16EB38-F785-4168-9938-104594734038}" showGridLines="0">
      <selection activeCell="D1" sqref="D1"/>
      <pageMargins left="0" right="0" top="0" bottom="0" header="0" footer="0"/>
      <pageSetup paperSize="9" orientation="portrait" r:id="rId7"/>
    </customSheetView>
    <customSheetView guid="{EECBF9DF-6D77-4263-85DA-71E40216BADD}" showGridLines="0">
      <selection activeCell="D1" sqref="D1"/>
      <pageMargins left="0" right="0" top="0" bottom="0" header="0" footer="0"/>
      <pageSetup paperSize="9" orientation="portrait" r:id="rId8"/>
    </customSheetView>
    <customSheetView guid="{F03309BC-D3FA-4CF2-833B-D6D9A95FE1FB}" showGridLines="0">
      <selection activeCell="D2" sqref="D2"/>
      <pageMargins left="0" right="0" top="0" bottom="0" header="0" footer="0"/>
      <pageSetup paperSize="9" orientation="portrait" r:id="rId9"/>
    </customSheetView>
  </customSheetViews>
  <mergeCells count="13">
    <mergeCell ref="B170:Y170"/>
    <mergeCell ref="B90:V90"/>
    <mergeCell ref="B62:V62"/>
    <mergeCell ref="B133:Y133"/>
    <mergeCell ref="B23:Y23"/>
    <mergeCell ref="B81:Y81"/>
    <mergeCell ref="B44:Z44"/>
    <mergeCell ref="B42:Y42"/>
    <mergeCell ref="C5:H5"/>
    <mergeCell ref="C6:H6"/>
    <mergeCell ref="C7:H7"/>
    <mergeCell ref="B12:V12"/>
    <mergeCell ref="B24:Y24"/>
  </mergeCells>
  <pageMargins left="0" right="0" top="0" bottom="0" header="0" footer="0"/>
  <pageSetup paperSize="9" orientation="portrait" r:id="rId10"/>
  <drawing r:id="rId1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77135-79FF-494A-B24F-451A2ACAC35B}">
  <sheetPr>
    <tabColor theme="3" tint="-0.249977111117893"/>
  </sheetPr>
  <dimension ref="A1:AC190"/>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55"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20.453125" customWidth="1"/>
    <col min="16" max="16" width="8" customWidth="1"/>
    <col min="17" max="17" width="18.81640625" style="12" customWidth="1"/>
    <col min="18" max="18" width="17.54296875" style="12" customWidth="1"/>
    <col min="19" max="20" width="20.7265625" style="13" customWidth="1"/>
    <col min="21" max="21" width="22.7265625" style="13" customWidth="1"/>
    <col min="22" max="22" width="20.26953125" style="39" customWidth="1"/>
    <col min="23" max="23" width="7.1796875" style="12"/>
    <col min="24" max="24" width="26" style="12" customWidth="1"/>
    <col min="26" max="16384" width="7.1796875" style="12"/>
  </cols>
  <sheetData>
    <row r="1" spans="1:29" ht="31.9" customHeight="1">
      <c r="A1" s="80" t="str">
        <f>IF(AND(OR(Path&lt;&gt;Units!$B$130,AND(Path=Units!$B$130, Initial_questions!$E$27&lt;&gt;Units!$L$124)), Master_Switch="On"),"User should not fill in this sheet, but switch to other non-blank GHG worksheets","")</f>
        <v>User should not fill in this sheet, but switch to other non-blank GHG worksheets</v>
      </c>
      <c r="C1" s="80"/>
      <c r="E1" s="256"/>
    </row>
    <row r="2" spans="1:29" ht="20.5" customHeight="1">
      <c r="B2" s="80"/>
      <c r="E2" s="256"/>
      <c r="I2" s="729" t="s">
        <v>1093</v>
      </c>
      <c r="J2" s="731"/>
      <c r="K2" s="732"/>
      <c r="L2" s="39"/>
      <c r="M2" s="39"/>
    </row>
    <row r="3" spans="1:29" ht="15" customHeight="1">
      <c r="E3" s="256"/>
    </row>
    <row r="4" spans="1:29" ht="15.65" customHeight="1" thickBot="1">
      <c r="A4" s="19"/>
      <c r="B4" s="3"/>
      <c r="C4" s="3"/>
      <c r="D4" s="3"/>
      <c r="E4" s="455"/>
      <c r="F4" s="3"/>
      <c r="G4" s="3"/>
      <c r="H4" s="1"/>
      <c r="I4" s="1"/>
      <c r="J4" s="1"/>
      <c r="K4" s="1"/>
      <c r="L4" s="1"/>
      <c r="M4" s="1"/>
      <c r="N4" s="37"/>
      <c r="O4" s="1"/>
      <c r="P4" s="1"/>
      <c r="Q4" s="3"/>
      <c r="R4" s="3"/>
      <c r="S4" s="1"/>
      <c r="T4" s="1"/>
      <c r="U4" s="1"/>
      <c r="V4" s="37"/>
      <c r="W4" s="37"/>
      <c r="X4" s="3"/>
    </row>
    <row r="5" spans="1:29" ht="94.15" customHeight="1" thickTop="1" thickBot="1">
      <c r="B5" s="11" t="s">
        <v>984</v>
      </c>
      <c r="C5" s="11" t="s">
        <v>985</v>
      </c>
      <c r="D5" s="11" t="s">
        <v>36</v>
      </c>
      <c r="E5" s="458" t="s">
        <v>771</v>
      </c>
      <c r="F5" s="11" t="s">
        <v>1094</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9" ht="15" thickTop="1">
      <c r="E6" s="457"/>
      <c r="Q6"/>
      <c r="R6"/>
      <c r="S6"/>
      <c r="T6"/>
      <c r="U6"/>
      <c r="V6"/>
    </row>
    <row r="7" spans="1:29">
      <c r="B7" s="145" t="s">
        <v>1097</v>
      </c>
      <c r="C7" s="145"/>
      <c r="D7" s="145"/>
      <c r="E7" s="324"/>
      <c r="F7" s="145"/>
      <c r="G7" s="145"/>
      <c r="H7" s="145"/>
      <c r="I7" s="145"/>
      <c r="J7" s="145"/>
      <c r="K7" s="145"/>
      <c r="L7" s="145"/>
      <c r="M7" s="145"/>
      <c r="N7" s="301"/>
      <c r="Q7"/>
      <c r="R7"/>
      <c r="S7"/>
      <c r="T7"/>
      <c r="U7"/>
      <c r="V7"/>
      <c r="W7" s="19"/>
      <c r="X7" s="19"/>
      <c r="Y7" s="19"/>
      <c r="Z7" s="19"/>
      <c r="AA7" s="19"/>
      <c r="AB7" s="19"/>
      <c r="AC7" s="19"/>
    </row>
    <row r="8" spans="1:29">
      <c r="B8" s="186" t="s">
        <v>1021</v>
      </c>
      <c r="C8" s="184" t="s">
        <v>1098</v>
      </c>
      <c r="D8" s="179" t="s">
        <v>479</v>
      </c>
      <c r="E8" s="306"/>
      <c r="F8" s="21"/>
      <c r="G8" s="21"/>
      <c r="H8" s="20"/>
      <c r="I8" s="463"/>
      <c r="J8" s="302"/>
      <c r="K8" s="302"/>
      <c r="L8" s="302"/>
      <c r="M8" s="302"/>
      <c r="N8" s="242">
        <f t="shared" ref="N8:N17" si="0">IF($D8="MWh/yr (LHV)",$E8,$J8*$E8*(1-$L8)/Conversion_kWh_to_MJ)</f>
        <v>0</v>
      </c>
      <c r="O8" s="12"/>
      <c r="P8" s="12"/>
      <c r="S8" s="300" t="str">
        <f t="shared" ref="S8:S17" si="1">IF(B8="", "", IF(D8="MWh/yr (LHV)", "Use column to right", "Enter data here"))</f>
        <v>Use column to right</v>
      </c>
      <c r="T8" s="300" t="e">
        <f>INDEX(Proj_grid_intensity_kWh,MATCH(Operations_year,Proj_grid_year,0))/Conversion_kWh_to_MJ</f>
        <v>#N/A</v>
      </c>
      <c r="U8" s="35" t="s">
        <v>1064</v>
      </c>
      <c r="V8" s="242" t="str">
        <f>IFERROR(IF(D8="tonnes/yr", $S8*$E8/($N$20*3.6), $T8*$E8*3.6/($N$20*3.6)), "Unfilled fields to left")</f>
        <v>Unfilled fields to left</v>
      </c>
      <c r="X8" s="25"/>
      <c r="Y8" s="12"/>
    </row>
    <row r="9" spans="1:29">
      <c r="B9" s="186" t="s">
        <v>1021</v>
      </c>
      <c r="C9" s="184" t="s">
        <v>1099</v>
      </c>
      <c r="D9" s="179" t="s">
        <v>479</v>
      </c>
      <c r="E9" s="306"/>
      <c r="F9" s="21"/>
      <c r="G9" s="21"/>
      <c r="H9" s="20"/>
      <c r="I9" s="463"/>
      <c r="J9" s="302"/>
      <c r="K9" s="302"/>
      <c r="L9" s="302"/>
      <c r="M9" s="302"/>
      <c r="N9" s="242">
        <f t="shared" si="0"/>
        <v>0</v>
      </c>
      <c r="O9" s="12"/>
      <c r="P9" s="12"/>
      <c r="S9" s="300" t="str">
        <f t="shared" si="1"/>
        <v>Use column to right</v>
      </c>
      <c r="T9" s="300" t="str">
        <f t="shared" ref="T9:T17" si="2">IF(B9="", "", IF(D9="MWh/yr (LHV)", "Enter data here", "Use column to left"))</f>
        <v>Enter data here</v>
      </c>
      <c r="U9" s="35" t="s">
        <v>1100</v>
      </c>
      <c r="V9" s="242" t="str">
        <f t="shared" ref="V9:V17" si="3">IFERROR(IF(D9="tonnes/yr", $S9*$E9/($N$20*3.6), $T9*$E9*3.6/($N$20*3.6)), "Unfilled fields to left")</f>
        <v>Unfilled fields to left</v>
      </c>
      <c r="X9" s="25"/>
      <c r="Y9" s="12"/>
    </row>
    <row r="10" spans="1:29">
      <c r="B10" s="186" t="s">
        <v>1042</v>
      </c>
      <c r="C10" s="184" t="s">
        <v>1043</v>
      </c>
      <c r="D10" s="179" t="s">
        <v>459</v>
      </c>
      <c r="E10" s="306"/>
      <c r="F10" s="21"/>
      <c r="G10" s="21"/>
      <c r="H10" s="20"/>
      <c r="I10" s="463"/>
      <c r="J10" s="302"/>
      <c r="K10" s="302"/>
      <c r="L10" s="302"/>
      <c r="M10" s="302"/>
      <c r="N10" s="242">
        <f t="shared" si="0"/>
        <v>0</v>
      </c>
      <c r="O10" s="12"/>
      <c r="P10" s="12"/>
      <c r="S10" s="300" t="str">
        <f t="shared" si="1"/>
        <v>Enter data here</v>
      </c>
      <c r="T10" s="300" t="str">
        <f t="shared" si="2"/>
        <v>Use column to left</v>
      </c>
      <c r="U10" s="35" t="s">
        <v>1100</v>
      </c>
      <c r="V10" s="242" t="str">
        <f t="shared" si="3"/>
        <v>Unfilled fields to left</v>
      </c>
      <c r="X10" s="25"/>
      <c r="Y10" s="12"/>
    </row>
    <row r="11" spans="1:29">
      <c r="B11" s="186" t="s">
        <v>1042</v>
      </c>
      <c r="C11" s="184" t="s">
        <v>1045</v>
      </c>
      <c r="D11" s="179" t="s">
        <v>459</v>
      </c>
      <c r="E11" s="306"/>
      <c r="F11" s="21"/>
      <c r="G11" s="21"/>
      <c r="H11" s="20"/>
      <c r="I11" s="463"/>
      <c r="J11" s="302"/>
      <c r="K11" s="302"/>
      <c r="L11" s="302"/>
      <c r="M11" s="302"/>
      <c r="N11" s="242">
        <f t="shared" si="0"/>
        <v>0</v>
      </c>
      <c r="O11" s="12"/>
      <c r="P11" s="12"/>
      <c r="S11" s="300" t="str">
        <f t="shared" si="1"/>
        <v>Enter data here</v>
      </c>
      <c r="T11" s="300" t="str">
        <f t="shared" si="2"/>
        <v>Use column to left</v>
      </c>
      <c r="U11" s="35" t="s">
        <v>1100</v>
      </c>
      <c r="V11" s="242" t="str">
        <f t="shared" si="3"/>
        <v>Unfilled fields to left</v>
      </c>
      <c r="X11" s="25"/>
      <c r="Y11" s="12"/>
    </row>
    <row r="12" spans="1:29">
      <c r="B12" s="186" t="s">
        <v>1051</v>
      </c>
      <c r="C12" s="184" t="s">
        <v>1010</v>
      </c>
      <c r="D12" s="179" t="s">
        <v>459</v>
      </c>
      <c r="E12" s="306"/>
      <c r="F12" s="21"/>
      <c r="G12" s="21"/>
      <c r="H12" s="20"/>
      <c r="I12" s="463"/>
      <c r="J12" s="302"/>
      <c r="K12" s="302"/>
      <c r="L12" s="302"/>
      <c r="M12" s="302"/>
      <c r="N12" s="242">
        <f t="shared" si="0"/>
        <v>0</v>
      </c>
      <c r="O12" s="12"/>
      <c r="P12" s="12"/>
      <c r="S12" s="300" t="str">
        <f t="shared" si="1"/>
        <v>Enter data here</v>
      </c>
      <c r="T12" s="300" t="str">
        <f t="shared" si="2"/>
        <v>Use column to left</v>
      </c>
      <c r="U12" s="35" t="s">
        <v>1100</v>
      </c>
      <c r="V12" s="242" t="str">
        <f t="shared" si="3"/>
        <v>Unfilled fields to left</v>
      </c>
      <c r="X12" s="25"/>
      <c r="Y12" s="12"/>
    </row>
    <row r="13" spans="1:29">
      <c r="B13" s="186" t="s">
        <v>1051</v>
      </c>
      <c r="C13" s="184" t="s">
        <v>1101</v>
      </c>
      <c r="D13" s="179" t="s">
        <v>459</v>
      </c>
      <c r="E13" s="306"/>
      <c r="F13" s="21"/>
      <c r="G13" s="21"/>
      <c r="H13" s="20"/>
      <c r="I13" s="463"/>
      <c r="J13" s="302"/>
      <c r="K13" s="302"/>
      <c r="L13" s="302"/>
      <c r="M13" s="302"/>
      <c r="N13" s="242">
        <f t="shared" si="0"/>
        <v>0</v>
      </c>
      <c r="O13" s="12"/>
      <c r="P13" s="12"/>
      <c r="S13" s="300" t="str">
        <f t="shared" si="1"/>
        <v>Enter data here</v>
      </c>
      <c r="T13" s="300" t="str">
        <f t="shared" si="2"/>
        <v>Use column to left</v>
      </c>
      <c r="U13" s="35" t="s">
        <v>1100</v>
      </c>
      <c r="V13" s="242" t="str">
        <f t="shared" si="3"/>
        <v>Unfilled fields to left</v>
      </c>
      <c r="X13" s="25"/>
      <c r="Y13" s="12"/>
    </row>
    <row r="14" spans="1:29">
      <c r="B14" s="186" t="s">
        <v>1102</v>
      </c>
      <c r="C14" s="184" t="s">
        <v>1055</v>
      </c>
      <c r="D14" s="179" t="s">
        <v>459</v>
      </c>
      <c r="E14" s="306"/>
      <c r="F14" s="21"/>
      <c r="G14" s="21"/>
      <c r="H14" s="20"/>
      <c r="I14" s="463"/>
      <c r="J14" s="302"/>
      <c r="K14" s="302"/>
      <c r="L14" s="302"/>
      <c r="M14" s="302"/>
      <c r="N14" s="242">
        <f t="shared" si="0"/>
        <v>0</v>
      </c>
      <c r="O14" s="12"/>
      <c r="P14" s="12"/>
      <c r="S14" s="300" t="str">
        <f t="shared" si="1"/>
        <v>Enter data here</v>
      </c>
      <c r="T14" s="300" t="str">
        <f t="shared" si="2"/>
        <v>Use column to left</v>
      </c>
      <c r="U14" s="35" t="s">
        <v>1100</v>
      </c>
      <c r="V14" s="242" t="str">
        <f t="shared" si="3"/>
        <v>Unfilled fields to left</v>
      </c>
      <c r="X14" s="25"/>
      <c r="Y14" s="12"/>
    </row>
    <row r="15" spans="1:29">
      <c r="B15" s="186" t="s">
        <v>1102</v>
      </c>
      <c r="C15" s="184"/>
      <c r="D15" s="179"/>
      <c r="E15" s="306"/>
      <c r="F15" s="21"/>
      <c r="G15" s="21"/>
      <c r="H15" s="20"/>
      <c r="I15" s="463"/>
      <c r="J15" s="302"/>
      <c r="K15" s="302"/>
      <c r="L15" s="302"/>
      <c r="M15" s="302"/>
      <c r="N15" s="242">
        <f t="shared" si="0"/>
        <v>0</v>
      </c>
      <c r="O15" s="12"/>
      <c r="P15" s="12"/>
      <c r="S15" s="300" t="str">
        <f t="shared" si="1"/>
        <v>Enter data here</v>
      </c>
      <c r="T15" s="300" t="str">
        <f t="shared" si="2"/>
        <v>Use column to left</v>
      </c>
      <c r="U15" s="35" t="s">
        <v>1100</v>
      </c>
      <c r="V15" s="242" t="str">
        <f t="shared" si="3"/>
        <v>Unfilled fields to left</v>
      </c>
      <c r="X15" s="25"/>
      <c r="Y15" s="12"/>
    </row>
    <row r="16" spans="1:29">
      <c r="B16" s="186"/>
      <c r="C16" s="184"/>
      <c r="D16" s="179"/>
      <c r="E16" s="306"/>
      <c r="F16" s="21"/>
      <c r="G16" s="21"/>
      <c r="H16" s="20"/>
      <c r="I16" s="463"/>
      <c r="J16" s="302"/>
      <c r="K16" s="302"/>
      <c r="L16" s="302"/>
      <c r="M16" s="302"/>
      <c r="N16" s="242">
        <f t="shared" si="0"/>
        <v>0</v>
      </c>
      <c r="O16" s="12"/>
      <c r="P16" s="12"/>
      <c r="S16" s="300" t="str">
        <f t="shared" si="1"/>
        <v/>
      </c>
      <c r="T16" s="300" t="str">
        <f t="shared" si="2"/>
        <v/>
      </c>
      <c r="U16" s="35"/>
      <c r="V16" s="242" t="str">
        <f t="shared" si="3"/>
        <v>Unfilled fields to left</v>
      </c>
      <c r="X16" s="25"/>
      <c r="Y16" s="12"/>
    </row>
    <row r="17" spans="2:29">
      <c r="B17" s="16"/>
      <c r="C17" s="15"/>
      <c r="D17" s="179"/>
      <c r="E17" s="306"/>
      <c r="F17" s="21"/>
      <c r="G17" s="21"/>
      <c r="H17" s="20"/>
      <c r="I17" s="463"/>
      <c r="J17" s="302"/>
      <c r="K17" s="302"/>
      <c r="L17" s="302"/>
      <c r="M17" s="302"/>
      <c r="N17" s="242">
        <f t="shared" si="0"/>
        <v>0</v>
      </c>
      <c r="O17" s="12"/>
      <c r="P17" s="12"/>
      <c r="S17" s="300" t="str">
        <f t="shared" si="1"/>
        <v/>
      </c>
      <c r="T17" s="300" t="str">
        <f t="shared" si="2"/>
        <v/>
      </c>
      <c r="U17" s="35"/>
      <c r="V17" s="242" t="str">
        <f t="shared" si="3"/>
        <v>Unfilled fields to left</v>
      </c>
      <c r="X17" s="25"/>
      <c r="Y17" s="12"/>
    </row>
    <row r="18" spans="2:29">
      <c r="C18" s="17"/>
      <c r="D18" s="17"/>
      <c r="E18" s="506"/>
      <c r="F18" s="26"/>
      <c r="G18" s="26"/>
      <c r="H18" s="22"/>
      <c r="I18" s="22"/>
      <c r="J18" s="41"/>
      <c r="K18" s="41"/>
      <c r="L18" s="41"/>
      <c r="M18" s="41"/>
      <c r="N18" s="41"/>
      <c r="S18" s="41"/>
      <c r="T18" s="41"/>
      <c r="U18" s="41"/>
      <c r="V18" s="41"/>
      <c r="X18" s="27"/>
      <c r="Y18" s="12"/>
    </row>
    <row r="19" spans="2:29">
      <c r="B19" s="145" t="s">
        <v>1103</v>
      </c>
      <c r="C19" s="145"/>
      <c r="D19" s="145"/>
      <c r="E19" s="493"/>
      <c r="F19" s="464"/>
      <c r="G19" s="464"/>
      <c r="H19" s="464"/>
      <c r="I19" s="464"/>
      <c r="J19" s="493"/>
      <c r="K19" s="493"/>
      <c r="L19" s="301"/>
      <c r="M19" s="301"/>
      <c r="N19" s="301"/>
      <c r="Q19"/>
      <c r="R19"/>
      <c r="S19" s="40"/>
      <c r="T19" s="40"/>
      <c r="U19" s="40"/>
      <c r="V19" s="40"/>
      <c r="W19" s="19"/>
      <c r="X19" s="19"/>
      <c r="Y19" s="19"/>
      <c r="Z19" s="19"/>
      <c r="AA19" s="19"/>
      <c r="AB19" s="19"/>
      <c r="AC19" s="19"/>
    </row>
    <row r="20" spans="2:29">
      <c r="B20" s="16" t="s">
        <v>1104</v>
      </c>
      <c r="C20" s="184" t="s">
        <v>1166</v>
      </c>
      <c r="D20" s="179" t="s">
        <v>479</v>
      </c>
      <c r="E20" s="306"/>
      <c r="F20" s="21"/>
      <c r="G20" s="21"/>
      <c r="H20" s="21"/>
      <c r="I20" s="21"/>
      <c r="J20" s="302"/>
      <c r="K20" s="306"/>
      <c r="L20" s="306"/>
      <c r="M20" s="306"/>
      <c r="N20" s="242">
        <f t="shared" ref="N20:N32" si="4">IF($D20="MWh/yr (LHV)",$E20,$J20*$E20*(1-$L20)/Conversion_kWh_to_MJ)</f>
        <v>0</v>
      </c>
      <c r="O20" s="246" t="s">
        <v>868</v>
      </c>
      <c r="Q20" s="515">
        <f>IF($D20="MWh/yr (LHV)",$E20,$E20*MAX(0, $J20*(1-$L20)-2.441*$L20)/Conversion_kWh_to_MJ)</f>
        <v>0</v>
      </c>
      <c r="R20" s="245" t="str">
        <f>IFERROR(Q20/(SUM($Q$20:$Q$22)),"")</f>
        <v/>
      </c>
      <c r="S20" s="42"/>
      <c r="T20" s="42"/>
      <c r="U20" s="42"/>
      <c r="V20" s="42"/>
      <c r="X20" s="21"/>
      <c r="Y20" s="12"/>
    </row>
    <row r="21" spans="2:29" s="14" customFormat="1">
      <c r="B21" s="186" t="s">
        <v>1008</v>
      </c>
      <c r="C21" s="184" t="s">
        <v>1106</v>
      </c>
      <c r="D21" s="179" t="s">
        <v>459</v>
      </c>
      <c r="E21" s="306"/>
      <c r="F21" s="21"/>
      <c r="G21" s="21"/>
      <c r="H21" s="20"/>
      <c r="I21" s="20"/>
      <c r="J21" s="302"/>
      <c r="K21" s="302"/>
      <c r="L21" s="302"/>
      <c r="M21" s="302"/>
      <c r="N21" s="242">
        <f t="shared" si="4"/>
        <v>0</v>
      </c>
      <c r="O21" s="12"/>
      <c r="P21" s="12"/>
      <c r="Q21" s="515">
        <f>IF($D21="MWh/yr (LHV)",$E21,$E21*MAX(0, $J21*(1-$L21)-2.441*$L21)/Conversion_kWh_to_MJ)</f>
        <v>0</v>
      </c>
      <c r="R21" s="245" t="str">
        <f t="shared" ref="R21:R22" si="5">IFERROR(Q21/(SUM($Q$20:$Q$22)),"")</f>
        <v/>
      </c>
      <c r="S21" s="42"/>
      <c r="T21" s="42"/>
      <c r="U21" s="107"/>
      <c r="V21" s="12"/>
      <c r="W21" s="23"/>
      <c r="X21" s="21"/>
      <c r="Y21" s="23"/>
      <c r="Z21" s="42"/>
      <c r="AB21" s="12"/>
    </row>
    <row r="22" spans="2:29" s="14" customFormat="1">
      <c r="B22" s="186" t="s">
        <v>1008</v>
      </c>
      <c r="C22" s="184" t="s">
        <v>1107</v>
      </c>
      <c r="D22" s="179" t="s">
        <v>459</v>
      </c>
      <c r="E22" s="306"/>
      <c r="F22" s="21"/>
      <c r="G22" s="21"/>
      <c r="H22" s="20"/>
      <c r="I22" s="20"/>
      <c r="J22" s="302"/>
      <c r="K22" s="302"/>
      <c r="L22" s="302"/>
      <c r="M22" s="302"/>
      <c r="N22" s="242">
        <f t="shared" si="4"/>
        <v>0</v>
      </c>
      <c r="O22" s="12"/>
      <c r="P22" s="12"/>
      <c r="Q22" s="515">
        <f>IF($D22="MWh/yr (LHV)",$E22,$E22*MAX(0, $J22*(1-$L22)-2.441*$L22)/Conversion_kWh_to_MJ)</f>
        <v>0</v>
      </c>
      <c r="R22" s="245" t="str">
        <f t="shared" si="5"/>
        <v/>
      </c>
      <c r="S22" s="42"/>
      <c r="T22" s="42"/>
      <c r="U22" s="107"/>
      <c r="V22" s="12"/>
      <c r="W22" s="23"/>
      <c r="X22" s="21"/>
      <c r="Y22" s="23"/>
      <c r="Z22" s="42"/>
      <c r="AB22" s="12"/>
    </row>
    <row r="23" spans="2:29" s="14" customFormat="1">
      <c r="B23" s="186" t="s">
        <v>1013</v>
      </c>
      <c r="C23" s="184" t="s">
        <v>1108</v>
      </c>
      <c r="D23" s="179" t="s">
        <v>459</v>
      </c>
      <c r="E23" s="306"/>
      <c r="F23" s="21"/>
      <c r="G23" s="21"/>
      <c r="H23" s="20"/>
      <c r="I23" s="20"/>
      <c r="J23" s="302"/>
      <c r="K23" s="302"/>
      <c r="L23" s="302"/>
      <c r="M23" s="302"/>
      <c r="N23" s="242">
        <f t="shared" si="4"/>
        <v>0</v>
      </c>
      <c r="O23" s="12"/>
      <c r="P23" s="12"/>
      <c r="Q23" s="12"/>
      <c r="R23" s="12"/>
      <c r="S23" s="107"/>
      <c r="T23" s="107"/>
      <c r="U23" s="107"/>
      <c r="V23" s="12"/>
      <c r="W23" s="23"/>
      <c r="X23" s="21"/>
      <c r="Y23" s="23"/>
      <c r="Z23" s="42"/>
      <c r="AB23" s="12"/>
    </row>
    <row r="24" spans="2:29" s="14" customFormat="1">
      <c r="B24" s="186" t="s">
        <v>1013</v>
      </c>
      <c r="C24" s="184" t="s">
        <v>1015</v>
      </c>
      <c r="D24" s="179" t="s">
        <v>459</v>
      </c>
      <c r="E24" s="306"/>
      <c r="F24" s="21"/>
      <c r="G24" s="21"/>
      <c r="H24" s="20"/>
      <c r="I24" s="20"/>
      <c r="J24" s="302"/>
      <c r="K24" s="302"/>
      <c r="L24" s="302"/>
      <c r="M24" s="302"/>
      <c r="N24" s="242">
        <f t="shared" si="4"/>
        <v>0</v>
      </c>
      <c r="O24" s="12"/>
      <c r="P24" s="12"/>
      <c r="Q24" s="12"/>
      <c r="R24" s="12"/>
      <c r="S24" s="107"/>
      <c r="T24" s="107"/>
      <c r="U24" s="107"/>
      <c r="V24" s="12"/>
      <c r="W24" s="23"/>
      <c r="X24" s="21"/>
      <c r="Y24" s="23"/>
      <c r="Z24" s="42"/>
      <c r="AB24" s="12"/>
    </row>
    <row r="25" spans="2:29" s="14" customFormat="1">
      <c r="B25" s="186" t="s">
        <v>1016</v>
      </c>
      <c r="C25" s="184" t="s">
        <v>1017</v>
      </c>
      <c r="D25" s="179" t="s">
        <v>459</v>
      </c>
      <c r="E25" s="306"/>
      <c r="F25" s="21"/>
      <c r="G25" s="21"/>
      <c r="H25" s="20"/>
      <c r="I25" s="463"/>
      <c r="J25" s="302"/>
      <c r="K25" s="302"/>
      <c r="L25" s="302"/>
      <c r="M25" s="302"/>
      <c r="N25" s="242">
        <f t="shared" si="4"/>
        <v>0</v>
      </c>
      <c r="O25" s="12"/>
      <c r="P25" s="12"/>
      <c r="Q25" s="12"/>
      <c r="R25" s="12"/>
      <c r="S25" s="107"/>
      <c r="T25" s="107"/>
      <c r="U25" s="107"/>
      <c r="V25" s="12"/>
      <c r="X25" s="21"/>
    </row>
    <row r="26" spans="2:29" s="14" customFormat="1">
      <c r="B26" s="186" t="s">
        <v>1016</v>
      </c>
      <c r="C26" s="184" t="s">
        <v>1018</v>
      </c>
      <c r="D26" s="179" t="s">
        <v>459</v>
      </c>
      <c r="E26" s="306"/>
      <c r="F26" s="21"/>
      <c r="G26" s="21"/>
      <c r="H26" s="20"/>
      <c r="I26" s="463"/>
      <c r="J26" s="302"/>
      <c r="K26" s="302"/>
      <c r="L26" s="302"/>
      <c r="M26" s="302"/>
      <c r="N26" s="242">
        <f t="shared" si="4"/>
        <v>0</v>
      </c>
      <c r="O26" s="12"/>
      <c r="P26" s="12"/>
      <c r="Q26" s="12"/>
      <c r="R26" s="12"/>
      <c r="S26" s="107"/>
      <c r="T26" s="107"/>
      <c r="U26" s="107"/>
      <c r="V26" s="12"/>
      <c r="X26" s="21"/>
    </row>
    <row r="27" spans="2:29" s="14" customFormat="1">
      <c r="B27" s="186" t="s">
        <v>1057</v>
      </c>
      <c r="C27" s="184" t="s">
        <v>1109</v>
      </c>
      <c r="D27" s="179" t="s">
        <v>459</v>
      </c>
      <c r="E27" s="306"/>
      <c r="F27" s="465"/>
      <c r="G27" s="21"/>
      <c r="H27" s="20"/>
      <c r="I27" s="463"/>
      <c r="J27" s="302"/>
      <c r="K27" s="302"/>
      <c r="L27" s="302"/>
      <c r="M27" s="302"/>
      <c r="N27" s="242">
        <f t="shared" si="4"/>
        <v>0</v>
      </c>
      <c r="O27" s="12"/>
      <c r="P27" s="12"/>
      <c r="Q27" s="12"/>
      <c r="R27" s="12"/>
      <c r="S27" s="528">
        <f>1*1000</f>
        <v>1000</v>
      </c>
      <c r="T27" s="477"/>
      <c r="U27" s="530" t="s">
        <v>1110</v>
      </c>
      <c r="V27" s="242" t="str">
        <f t="shared" ref="V27:V32" si="6">IFERROR(IF(D27="tonnes/yr", $S27*$E27/($N$20*3.6), $T27*$E27*3.6/($N$20*3.6)), "Unfilled fields to left")</f>
        <v>Unfilled fields to left</v>
      </c>
      <c r="X27" s="21"/>
    </row>
    <row r="28" spans="2:29" s="14" customFormat="1">
      <c r="B28" s="186" t="s">
        <v>1070</v>
      </c>
      <c r="C28" s="184" t="s">
        <v>1111</v>
      </c>
      <c r="D28" s="179" t="s">
        <v>459</v>
      </c>
      <c r="E28" s="35">
        <f>E27*E37</f>
        <v>0</v>
      </c>
      <c r="F28" s="465"/>
      <c r="G28" s="21"/>
      <c r="H28" s="20"/>
      <c r="I28" s="463"/>
      <c r="J28" s="302"/>
      <c r="K28" s="302"/>
      <c r="L28" s="302"/>
      <c r="M28" s="302"/>
      <c r="N28" s="242">
        <f t="shared" si="4"/>
        <v>0</v>
      </c>
      <c r="O28" s="12"/>
      <c r="P28" s="12"/>
      <c r="Q28" s="12"/>
      <c r="R28" s="12"/>
      <c r="S28" s="528">
        <v>-1000</v>
      </c>
      <c r="T28" s="477"/>
      <c r="U28" s="530" t="s">
        <v>1112</v>
      </c>
      <c r="V28" s="242" t="str">
        <f t="shared" si="6"/>
        <v>Unfilled fields to left</v>
      </c>
      <c r="X28" s="21"/>
    </row>
    <row r="29" spans="2:29" s="14" customFormat="1">
      <c r="B29" s="186" t="s">
        <v>1113</v>
      </c>
      <c r="C29" s="184" t="s">
        <v>1073</v>
      </c>
      <c r="D29" s="179" t="s">
        <v>459</v>
      </c>
      <c r="E29" s="306"/>
      <c r="F29" s="465"/>
      <c r="G29" s="21"/>
      <c r="H29" s="20"/>
      <c r="I29" s="463"/>
      <c r="J29" s="302"/>
      <c r="K29" s="302"/>
      <c r="L29" s="302"/>
      <c r="M29" s="302"/>
      <c r="N29" s="242">
        <f t="shared" si="4"/>
        <v>0</v>
      </c>
      <c r="O29" s="12"/>
      <c r="P29" s="12"/>
      <c r="Q29" s="12"/>
      <c r="R29" s="12"/>
      <c r="S29" s="528">
        <f>28*1000</f>
        <v>28000</v>
      </c>
      <c r="T29" s="477"/>
      <c r="U29" s="530" t="s">
        <v>1059</v>
      </c>
      <c r="V29" s="242" t="str">
        <f t="shared" si="6"/>
        <v>Unfilled fields to left</v>
      </c>
      <c r="X29" s="21"/>
    </row>
    <row r="30" spans="2:29" s="14" customFormat="1">
      <c r="B30" s="186" t="s">
        <v>1113</v>
      </c>
      <c r="C30" s="184" t="s">
        <v>1075</v>
      </c>
      <c r="D30" s="179" t="s">
        <v>459</v>
      </c>
      <c r="E30" s="306"/>
      <c r="F30" s="21"/>
      <c r="G30" s="21"/>
      <c r="H30" s="20"/>
      <c r="I30" s="463"/>
      <c r="J30" s="302"/>
      <c r="K30" s="302"/>
      <c r="L30" s="302"/>
      <c r="M30" s="302"/>
      <c r="N30" s="242">
        <f t="shared" si="4"/>
        <v>0</v>
      </c>
      <c r="O30" s="12"/>
      <c r="P30" s="12"/>
      <c r="Q30" s="12"/>
      <c r="R30" s="12"/>
      <c r="S30" s="534">
        <v>265000</v>
      </c>
      <c r="T30" s="518"/>
      <c r="U30" s="530" t="s">
        <v>1059</v>
      </c>
      <c r="V30" s="242" t="str">
        <f t="shared" si="6"/>
        <v>Unfilled fields to left</v>
      </c>
      <c r="X30" s="21"/>
    </row>
    <row r="31" spans="2:29" s="14" customFormat="1">
      <c r="B31" s="16"/>
      <c r="C31" s="15"/>
      <c r="D31" s="179"/>
      <c r="E31" s="306"/>
      <c r="F31" s="21"/>
      <c r="G31" s="21"/>
      <c r="H31" s="20"/>
      <c r="I31" s="463"/>
      <c r="J31" s="302"/>
      <c r="K31" s="302"/>
      <c r="L31" s="302"/>
      <c r="M31" s="302"/>
      <c r="N31" s="242">
        <f t="shared" si="4"/>
        <v>0</v>
      </c>
      <c r="O31" s="12"/>
      <c r="P31" s="12"/>
      <c r="Q31" s="12"/>
      <c r="R31" s="12"/>
      <c r="S31" s="529"/>
      <c r="T31" s="477"/>
      <c r="U31" s="531"/>
      <c r="V31" s="242" t="str">
        <f t="shared" si="6"/>
        <v>Unfilled fields to left</v>
      </c>
      <c r="X31" s="21"/>
    </row>
    <row r="32" spans="2:29" s="14" customFormat="1">
      <c r="B32" s="16"/>
      <c r="C32" s="15"/>
      <c r="D32" s="179"/>
      <c r="E32" s="306"/>
      <c r="F32" s="21"/>
      <c r="G32" s="21"/>
      <c r="H32" s="20"/>
      <c r="I32" s="463"/>
      <c r="J32" s="302"/>
      <c r="K32" s="302"/>
      <c r="L32" s="302"/>
      <c r="M32" s="302"/>
      <c r="N32" s="242">
        <f t="shared" si="4"/>
        <v>0</v>
      </c>
      <c r="O32" s="12"/>
      <c r="P32" s="12"/>
      <c r="Q32" s="12"/>
      <c r="R32" s="12"/>
      <c r="S32" s="528"/>
      <c r="T32" s="477"/>
      <c r="U32" s="531"/>
      <c r="V32" s="242" t="str">
        <f t="shared" si="6"/>
        <v>Unfilled fields to left</v>
      </c>
      <c r="X32" s="21"/>
    </row>
    <row r="33" spans="2:25">
      <c r="C33" s="17"/>
      <c r="D33" s="17"/>
      <c r="E33" s="140"/>
      <c r="F33" s="17"/>
      <c r="H33" s="18"/>
      <c r="I33" s="18"/>
      <c r="J33" s="40"/>
      <c r="K33" s="40"/>
      <c r="L33" s="39"/>
      <c r="M33" s="39"/>
      <c r="O33" s="12"/>
      <c r="P33" s="12"/>
      <c r="S33" s="40"/>
      <c r="T33" s="40"/>
      <c r="U33" s="40"/>
      <c r="V33" s="40"/>
      <c r="Y33" s="12"/>
    </row>
    <row r="34" spans="2:25">
      <c r="D34" s="17"/>
      <c r="E34" s="140"/>
      <c r="J34" s="39"/>
      <c r="K34" s="39"/>
      <c r="L34" s="107"/>
      <c r="M34" s="107"/>
      <c r="N34" s="107"/>
      <c r="O34" s="12"/>
      <c r="P34" s="12"/>
      <c r="S34" s="39"/>
      <c r="T34" s="39"/>
      <c r="U34" s="38" t="s">
        <v>1114</v>
      </c>
      <c r="V34" s="153">
        <f>SUM(V7:V33)</f>
        <v>0</v>
      </c>
      <c r="Y34" s="12"/>
    </row>
    <row r="35" spans="2:25">
      <c r="B35" s="145" t="s">
        <v>132</v>
      </c>
      <c r="C35" s="159"/>
      <c r="D35" s="159"/>
      <c r="E35" s="499"/>
      <c r="I35" s="12"/>
      <c r="J35" s="107"/>
      <c r="K35" s="107"/>
      <c r="L35" s="107"/>
      <c r="M35" s="107"/>
      <c r="N35" s="107"/>
      <c r="O35" s="12"/>
      <c r="P35" s="12"/>
      <c r="S35" s="107"/>
      <c r="T35" s="107"/>
      <c r="U35" s="107"/>
      <c r="Y35" s="12"/>
    </row>
    <row r="36" spans="2:25">
      <c r="B36" s="16" t="s">
        <v>1086</v>
      </c>
      <c r="C36" s="15" t="s">
        <v>1087</v>
      </c>
      <c r="D36" s="15" t="s">
        <v>1088</v>
      </c>
      <c r="E36" s="501"/>
      <c r="G36" s="19"/>
      <c r="H36" s="12"/>
      <c r="I36" s="12"/>
      <c r="J36" s="107"/>
      <c r="K36" s="107"/>
      <c r="L36" s="107"/>
      <c r="M36" s="107"/>
      <c r="N36" s="107"/>
      <c r="O36" s="12"/>
      <c r="P36" s="12"/>
      <c r="S36" s="107"/>
      <c r="T36" s="107"/>
      <c r="U36" s="107"/>
      <c r="V36" s="12"/>
      <c r="X36" s="25"/>
      <c r="Y36" s="12"/>
    </row>
    <row r="37" spans="2:25">
      <c r="B37" s="16" t="s">
        <v>1091</v>
      </c>
      <c r="C37" s="15" t="s">
        <v>1092</v>
      </c>
      <c r="D37" s="15" t="s">
        <v>785</v>
      </c>
      <c r="E37" s="512"/>
      <c r="H37" s="12"/>
      <c r="I37" s="12"/>
      <c r="J37" s="107"/>
      <c r="K37" s="107"/>
      <c r="L37" s="39"/>
      <c r="M37" s="39"/>
      <c r="S37" s="107"/>
      <c r="T37" s="107"/>
      <c r="U37" s="107"/>
      <c r="V37" s="12"/>
      <c r="X37" s="25"/>
      <c r="Y37" s="12"/>
    </row>
    <row r="38" spans="2:25">
      <c r="B38" s="16"/>
      <c r="C38" s="15"/>
      <c r="D38" s="15"/>
      <c r="E38" s="512"/>
      <c r="J38" s="39"/>
      <c r="K38" s="39"/>
      <c r="L38" s="39"/>
      <c r="M38" s="39"/>
      <c r="S38" s="39"/>
      <c r="T38" s="39"/>
      <c r="U38" s="39"/>
      <c r="X38" s="25"/>
    </row>
    <row r="39" spans="2:25">
      <c r="B39" s="16"/>
      <c r="C39" s="15"/>
      <c r="D39" s="15"/>
      <c r="E39" s="507"/>
      <c r="J39" s="39"/>
      <c r="K39" s="39"/>
      <c r="L39" s="39"/>
      <c r="M39" s="39"/>
      <c r="S39" s="39"/>
      <c r="T39" s="39"/>
      <c r="U39" s="39"/>
      <c r="X39" s="25"/>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S122" s="39"/>
      <c r="T122" s="39"/>
      <c r="U122" s="39"/>
    </row>
    <row r="123" spans="5:21">
      <c r="E123" s="107"/>
      <c r="J123" s="39"/>
      <c r="K123" s="39"/>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E148" s="107"/>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row r="190" spans="19:21">
      <c r="S190" s="39"/>
      <c r="T190" s="39"/>
      <c r="U190" s="39"/>
    </row>
  </sheetData>
  <customSheetViews>
    <customSheetView guid="{2D920366-22B2-4182-A65D-0EDBE614FB37}" showGridLines="0">
      <pane xSplit="3" ySplit="5" topLeftCell="D6" activePane="bottomRight" state="frozen"/>
      <selection pane="bottomRight"/>
      <pageMargins left="0" right="0" top="0" bottom="0" header="0" footer="0"/>
    </customSheetView>
    <customSheetView guid="{F468A2FD-7987-4A9D-8BAE-1AACE523607F}" state="hidden">
      <selection activeCell="C2" sqref="C2:E2"/>
      <pageMargins left="0" right="0" top="0" bottom="0" header="0" footer="0"/>
    </customSheetView>
    <customSheetView guid="{D97B1299-69D0-4EE0-B673-CCF74742F96B}">
      <pageMargins left="0" right="0" top="0" bottom="0" header="0" footer="0"/>
    </customSheetView>
    <customSheetView guid="{3F0A4FBA-5323-448F-A023-B3E14C54064C}" state="hidden">
      <pageMargins left="0" right="0" top="0" bottom="0" header="0" footer="0"/>
    </customSheetView>
    <customSheetView guid="{E6EFD927-84B2-4D06-BB59-59D9DF522DA2}" showGridLines="0" state="hidden">
      <pane xSplit="3" ySplit="5" topLeftCell="D6" activePane="bottomRight" state="frozen"/>
      <selection pane="bottomRight"/>
      <pageMargins left="0" right="0" top="0" bottom="0" header="0" footer="0"/>
    </customSheetView>
    <customSheetView guid="{0E935136-9A80-44B6-88D5-61E64D742049}" showGridLines="0" state="hidden">
      <pane xSplit="3" ySplit="5" topLeftCell="D6" activePane="bottomRight" state="frozen"/>
      <selection pane="bottomRight" activeCell="I2" sqref="I2:K2"/>
      <pageMargins left="0" right="0" top="0" bottom="0" header="0" footer="0"/>
    </customSheetView>
    <customSheetView guid="{1C16EB38-F785-4168-9938-104594734038}" showGridLines="0" state="hidden">
      <pane xSplit="3" ySplit="5" topLeftCell="D6" activePane="bottomRight" state="frozen"/>
      <selection pane="bottomRight" activeCell="C2" sqref="C2:E2"/>
      <pageMargins left="0" right="0" top="0" bottom="0" header="0" footer="0"/>
    </customSheetView>
    <customSheetView guid="{EECBF9DF-6D77-4263-85DA-71E40216BADD}" showGridLines="0" state="hidden">
      <pane xSplit="3" ySplit="5" topLeftCell="D6" activePane="bottomRight" state="frozen"/>
      <selection pane="bottomRight"/>
      <pageMargins left="0" right="0" top="0" bottom="0" header="0" footer="0"/>
    </customSheetView>
    <customSheetView guid="{F03309BC-D3FA-4CF2-833B-D6D9A95FE1FB}" showGridLines="0" state="hidden">
      <pane xSplit="3" ySplit="5" topLeftCell="D6" activePane="bottomRight" state="frozen"/>
      <selection pane="bottomRight"/>
      <pageMargins left="0" right="0" top="0" bottom="0" header="0" footer="0"/>
    </customSheetView>
  </customSheetViews>
  <mergeCells count="1">
    <mergeCell ref="I2:K2"/>
  </mergeCells>
  <dataValidations count="5">
    <dataValidation type="decimal" operator="greaterThan" allowBlank="1" showInputMessage="1" showErrorMessage="1" errorTitle="Negative intensity reported" error="GHG emissions intensities for inputs must be reported as non-negative, i.e. negative intensity inputs should report zero" sqref="S8:T27 S29:T33" xr:uid="{7B637471-9293-44C4-9C4A-660DDA565C28}">
      <formula1>0</formula1>
    </dataValidation>
    <dataValidation type="custom" allowBlank="1" showInputMessage="1" showErrorMessage="1" error="Please do not change" sqref="O20 R20:R22" xr:uid="{FCB48724-6237-44A3-A091-91645B1EDF87}">
      <formula1>"Please do not change"</formula1>
    </dataValidation>
    <dataValidation type="custom" allowBlank="1" showInputMessage="1" showErrorMessage="1" error="Please do not change this formula" sqref="O6:O19 O21:O1048576 R23:R1048576 P1:Q1048576 R1:R19 N1:O5 N6:N1048576" xr:uid="{19A11E6C-8847-4F9B-8FE7-984EB9DF37C6}">
      <formula1>"Please do not change this formula"</formula1>
    </dataValidation>
    <dataValidation type="custom" allowBlank="1" showInputMessage="1" showErrorMessage="1" error="Please do not change this formula" prompt="Please do not change this formula" sqref="W4 V1:V4 S5:V5 V6:V1048576" xr:uid="{3DE23927-B13A-4649-9CEA-CE27390E0526}">
      <formula1>"Please do not change this formula"</formula1>
    </dataValidation>
    <dataValidation type="list" allowBlank="1" showInputMessage="1" showErrorMessage="1" sqref="D8:D17 D20:D32" xr:uid="{0CFA82EA-67B8-4F22-9EC8-8EE2CC46318E}">
      <formula1>Flow_units</formula1>
    </dataValidation>
  </dataValidations>
  <hyperlinks>
    <hyperlink ref="I2:J2" location="'NG Transport'!A1" display="Go to the next step of this pathway" xr:uid="{BA6E2831-53EB-4050-BE38-6B6FCC0158DC}"/>
    <hyperlink ref="I2:K2" location="Crude_Transport!A1" display="Go to the next step of this pathway" xr:uid="{C74968A3-0910-4467-A5E9-8706FD455738}"/>
  </hyperlinks>
  <pageMargins left="0" right="0" top="0" bottom="0" header="0" footer="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261" id="{00000000-000E-0000-1D00-000002000000}">
            <xm:f>AND(OR(Path&lt;&gt;Units!$B$130,AND(Path=Units!$B$130,Initial_questions!$E$27&lt;&gt;Units!$L$124)),Master_Switch="On")</xm:f>
            <x14:dxf>
              <font>
                <color theme="0"/>
              </font>
              <fill>
                <patternFill patternType="solid">
                  <fgColor theme="0"/>
                  <bgColor theme="0"/>
                </patternFill>
              </fill>
              <border>
                <left/>
                <right/>
                <top/>
                <bottom/>
                <vertical/>
                <horizontal/>
              </border>
            </x14:dxf>
          </x14:cfRule>
          <xm:sqref>A2:XFD100</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6F690-8111-4AD1-A044-58259A0DC8DE}">
  <sheetPr>
    <tabColor theme="3" tint="-0.249977111117893"/>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55"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20.453125" customWidth="1"/>
    <col min="16" max="16" width="8" customWidth="1"/>
    <col min="17" max="17" width="18.81640625" style="12" customWidth="1"/>
    <col min="18" max="18" width="17.54296875" style="12" customWidth="1"/>
    <col min="19" max="20" width="20.7265625" style="13" customWidth="1"/>
    <col min="21" max="21" width="22.7265625" style="13" customWidth="1"/>
    <col min="22" max="22" width="20.26953125" style="39" customWidth="1"/>
    <col min="23" max="23" width="7.1796875" style="12"/>
    <col min="24" max="24" width="26" style="12" customWidth="1"/>
    <col min="26" max="16384" width="7.1796875" style="12"/>
  </cols>
  <sheetData>
    <row r="1" spans="1:29" ht="31.9" customHeight="1">
      <c r="A1" s="80" t="str">
        <f>IF(AND(OR(Path&lt;&gt;Units!$B$130,AND(Path=Units!$B$130, Initial_questions!$E$27&lt;&gt;Units!$L$124)), Master_Switch="On"),"User should not fill in this sheet, but switch to other non-blank GHG worksheets","")</f>
        <v>User should not fill in this sheet, but switch to other non-blank GHG worksheets</v>
      </c>
      <c r="E1" s="256"/>
    </row>
    <row r="2" spans="1:29" s="19" customFormat="1" ht="20.5" customHeight="1">
      <c r="B2" s="80"/>
      <c r="E2" s="256"/>
      <c r="H2" s="126"/>
      <c r="I2" s="729" t="s">
        <v>1093</v>
      </c>
      <c r="J2" s="731"/>
      <c r="K2" s="732"/>
      <c r="L2" s="39"/>
      <c r="M2" s="39"/>
      <c r="N2" s="39"/>
      <c r="O2"/>
      <c r="P2"/>
      <c r="Q2" s="12"/>
      <c r="R2" s="12"/>
      <c r="S2" s="126"/>
      <c r="T2" s="126"/>
      <c r="U2" s="126"/>
      <c r="V2" s="125"/>
      <c r="Y2"/>
    </row>
    <row r="3" spans="1:29" ht="15" customHeight="1">
      <c r="E3" s="256"/>
    </row>
    <row r="4" spans="1:29" ht="15.65" customHeight="1" thickBot="1">
      <c r="B4" s="3"/>
      <c r="C4" s="3"/>
      <c r="D4" s="3"/>
      <c r="E4" s="455"/>
      <c r="F4" s="3"/>
      <c r="G4" s="3"/>
      <c r="H4" s="1"/>
      <c r="I4" s="1"/>
      <c r="J4" s="1"/>
      <c r="K4" s="1"/>
      <c r="L4" s="1"/>
      <c r="M4" s="1"/>
      <c r="N4" s="37"/>
      <c r="O4" s="1"/>
      <c r="P4" s="1"/>
      <c r="Q4" s="3"/>
      <c r="R4" s="3"/>
      <c r="S4" s="1"/>
      <c r="T4" s="1"/>
      <c r="U4" s="1"/>
      <c r="V4" s="37"/>
      <c r="W4" s="37"/>
      <c r="X4" s="3"/>
    </row>
    <row r="5" spans="1:29"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9" ht="15" thickTop="1">
      <c r="E6" s="457"/>
      <c r="Q6"/>
      <c r="R6"/>
      <c r="S6"/>
      <c r="T6"/>
      <c r="U6"/>
      <c r="V6"/>
    </row>
    <row r="7" spans="1:29">
      <c r="B7" s="145" t="s">
        <v>1097</v>
      </c>
      <c r="C7" s="145"/>
      <c r="D7" s="145"/>
      <c r="E7" s="324"/>
      <c r="F7" s="145"/>
      <c r="G7" s="145"/>
      <c r="H7" s="145"/>
      <c r="I7" s="145"/>
      <c r="J7" s="145"/>
      <c r="K7" s="145"/>
      <c r="L7" s="145"/>
      <c r="M7" s="145"/>
      <c r="N7" s="301"/>
      <c r="Q7"/>
      <c r="R7"/>
      <c r="S7"/>
      <c r="T7"/>
      <c r="U7"/>
      <c r="V7"/>
      <c r="W7" s="19"/>
      <c r="X7" s="19"/>
      <c r="Y7" s="19"/>
      <c r="Z7" s="19"/>
      <c r="AA7" s="19"/>
      <c r="AB7" s="19"/>
      <c r="AC7" s="19"/>
    </row>
    <row r="8" spans="1:29">
      <c r="B8" s="16" t="s">
        <v>1115</v>
      </c>
      <c r="C8" s="184" t="s">
        <v>1166</v>
      </c>
      <c r="D8" s="179" t="s">
        <v>459</v>
      </c>
      <c r="E8" s="35"/>
      <c r="F8" s="21"/>
      <c r="G8" s="21"/>
      <c r="H8" s="20"/>
      <c r="I8" s="20"/>
      <c r="J8" s="300"/>
      <c r="K8" s="302"/>
      <c r="L8" s="302"/>
      <c r="M8" s="302"/>
      <c r="N8" s="242">
        <f t="shared" ref="N8:N17" si="0">IF($D8="MWh/yr (LHV)",$E8,$J8*$E8*(1-$L8)/Conversion_kWh_to_MJ)</f>
        <v>0</v>
      </c>
      <c r="O8" s="12"/>
      <c r="P8" s="12"/>
      <c r="S8" s="107"/>
      <c r="T8" s="107"/>
      <c r="U8" s="107"/>
      <c r="V8" s="12"/>
      <c r="X8" s="24"/>
      <c r="Y8" s="12"/>
    </row>
    <row r="9" spans="1:29">
      <c r="B9" s="186" t="s">
        <v>1021</v>
      </c>
      <c r="C9" s="184" t="s">
        <v>1116</v>
      </c>
      <c r="D9" s="179" t="s">
        <v>479</v>
      </c>
      <c r="E9" s="35"/>
      <c r="F9" s="21"/>
      <c r="G9" s="21"/>
      <c r="H9" s="20"/>
      <c r="I9" s="36"/>
      <c r="J9" s="300"/>
      <c r="K9" s="302"/>
      <c r="L9" s="302"/>
      <c r="M9" s="302"/>
      <c r="N9" s="242">
        <f t="shared" si="0"/>
        <v>0</v>
      </c>
      <c r="O9" s="12"/>
      <c r="P9" s="12"/>
      <c r="S9" s="35" t="str">
        <f>IF(B9="", "", IF(D9="MWh/yr (LHV)", "Use column to right", "Enter data here"))</f>
        <v>Use column to right</v>
      </c>
      <c r="T9" s="300" t="e">
        <f>INDEX(Proj_grid_intensity_kWh,MATCH(Operations_year,Proj_grid_year,0))/Conversion_kWh_to_MJ</f>
        <v>#N/A</v>
      </c>
      <c r="U9" s="35" t="s">
        <v>1064</v>
      </c>
      <c r="V9" s="242" t="str">
        <f t="shared" ref="V9:V17" si="1">IFERROR(IF(D9="tonnes/yr", $S9*$E9/($N$20*3.6), $T9*$E9*3.6/($N$20*3.6)), "Unfilled fields to left")</f>
        <v>Unfilled fields to left</v>
      </c>
      <c r="X9" s="25"/>
      <c r="Y9" s="12"/>
    </row>
    <row r="10" spans="1:29">
      <c r="B10" s="186" t="s">
        <v>1021</v>
      </c>
      <c r="C10" s="184"/>
      <c r="D10" s="179"/>
      <c r="E10" s="35"/>
      <c r="F10" s="21"/>
      <c r="G10" s="21"/>
      <c r="H10" s="20"/>
      <c r="I10" s="36"/>
      <c r="J10" s="300"/>
      <c r="K10" s="302"/>
      <c r="L10" s="302"/>
      <c r="M10" s="302"/>
      <c r="N10" s="242">
        <f t="shared" si="0"/>
        <v>0</v>
      </c>
      <c r="O10" s="12"/>
      <c r="P10" s="12"/>
      <c r="S10" s="35" t="str">
        <f>IF(B10="", "", IF(D10="MWh/yr (LHV)", "Use column to right", "Enter data here"))</f>
        <v>Enter data here</v>
      </c>
      <c r="T10" s="35" t="str">
        <f t="shared" ref="T10:T17" si="2">IF(B10="", "", IF(D10="MWh/yr (LHV)", "Enter data here", "Use column to left"))</f>
        <v>Use column to left</v>
      </c>
      <c r="U10" s="35" t="s">
        <v>1100</v>
      </c>
      <c r="V10" s="242" t="str">
        <f t="shared" si="1"/>
        <v>Unfilled fields to left</v>
      </c>
      <c r="X10" s="25"/>
      <c r="Y10" s="12"/>
    </row>
    <row r="11" spans="1:29">
      <c r="B11" s="186" t="s">
        <v>1042</v>
      </c>
      <c r="C11" s="184" t="s">
        <v>1043</v>
      </c>
      <c r="D11" s="179" t="s">
        <v>459</v>
      </c>
      <c r="E11" s="35"/>
      <c r="F11" s="21"/>
      <c r="G11" s="21"/>
      <c r="H11" s="20"/>
      <c r="I11" s="36"/>
      <c r="J11" s="300"/>
      <c r="K11" s="302"/>
      <c r="L11" s="302"/>
      <c r="M11" s="302"/>
      <c r="N11" s="242">
        <f t="shared" si="0"/>
        <v>0</v>
      </c>
      <c r="O11" s="12"/>
      <c r="P11" s="12"/>
      <c r="S11" s="35" t="str">
        <f t="shared" ref="S11:S17" si="3">IF(B11="", "", IF(D11="MWh/yr (LHV)", "Use column to right", "Enter data here"))</f>
        <v>Enter data here</v>
      </c>
      <c r="T11" s="35" t="str">
        <f t="shared" si="2"/>
        <v>Use column to left</v>
      </c>
      <c r="U11" s="35" t="s">
        <v>1100</v>
      </c>
      <c r="V11" s="242" t="str">
        <f t="shared" si="1"/>
        <v>Unfilled fields to left</v>
      </c>
      <c r="X11" s="25"/>
      <c r="Y11" s="12"/>
    </row>
    <row r="12" spans="1:29">
      <c r="B12" s="186" t="s">
        <v>1042</v>
      </c>
      <c r="C12" s="184" t="s">
        <v>1045</v>
      </c>
      <c r="D12" s="179" t="s">
        <v>459</v>
      </c>
      <c r="E12" s="35"/>
      <c r="F12" s="21"/>
      <c r="G12" s="21"/>
      <c r="H12" s="20"/>
      <c r="I12" s="36"/>
      <c r="J12" s="300"/>
      <c r="K12" s="302"/>
      <c r="L12" s="302"/>
      <c r="M12" s="302"/>
      <c r="N12" s="242">
        <f t="shared" si="0"/>
        <v>0</v>
      </c>
      <c r="O12" s="12"/>
      <c r="P12" s="12"/>
      <c r="S12" s="35" t="str">
        <f t="shared" si="3"/>
        <v>Enter data here</v>
      </c>
      <c r="T12" s="35" t="str">
        <f t="shared" si="2"/>
        <v>Use column to left</v>
      </c>
      <c r="U12" s="35" t="s">
        <v>1100</v>
      </c>
      <c r="V12" s="242" t="str">
        <f t="shared" si="1"/>
        <v>Unfilled fields to left</v>
      </c>
      <c r="X12" s="25"/>
      <c r="Y12" s="12"/>
    </row>
    <row r="13" spans="1:29">
      <c r="B13" s="186" t="s">
        <v>1051</v>
      </c>
      <c r="C13" s="184" t="s">
        <v>1010</v>
      </c>
      <c r="D13" s="179" t="s">
        <v>459</v>
      </c>
      <c r="E13" s="35"/>
      <c r="F13" s="21"/>
      <c r="G13" s="21"/>
      <c r="H13" s="20"/>
      <c r="I13" s="36"/>
      <c r="J13" s="300"/>
      <c r="K13" s="302"/>
      <c r="L13" s="302"/>
      <c r="M13" s="302"/>
      <c r="N13" s="242">
        <f t="shared" si="0"/>
        <v>0</v>
      </c>
      <c r="O13" s="12"/>
      <c r="P13" s="12"/>
      <c r="S13" s="35" t="str">
        <f t="shared" si="3"/>
        <v>Enter data here</v>
      </c>
      <c r="T13" s="35" t="str">
        <f t="shared" si="2"/>
        <v>Use column to left</v>
      </c>
      <c r="U13" s="35" t="s">
        <v>1100</v>
      </c>
      <c r="V13" s="242" t="str">
        <f t="shared" si="1"/>
        <v>Unfilled fields to left</v>
      </c>
      <c r="X13" s="25"/>
      <c r="Y13" s="12"/>
    </row>
    <row r="14" spans="1:29">
      <c r="B14" s="186" t="s">
        <v>1051</v>
      </c>
      <c r="C14" s="184" t="s">
        <v>1101</v>
      </c>
      <c r="D14" s="179" t="s">
        <v>459</v>
      </c>
      <c r="E14" s="35"/>
      <c r="F14" s="21"/>
      <c r="G14" s="21"/>
      <c r="H14" s="20"/>
      <c r="I14" s="36"/>
      <c r="J14" s="300"/>
      <c r="K14" s="302"/>
      <c r="L14" s="302"/>
      <c r="M14" s="302"/>
      <c r="N14" s="242">
        <f t="shared" si="0"/>
        <v>0</v>
      </c>
      <c r="O14" s="12"/>
      <c r="P14" s="12"/>
      <c r="S14" s="35" t="str">
        <f t="shared" si="3"/>
        <v>Enter data here</v>
      </c>
      <c r="T14" s="35" t="str">
        <f t="shared" si="2"/>
        <v>Use column to left</v>
      </c>
      <c r="U14" s="35" t="s">
        <v>1100</v>
      </c>
      <c r="V14" s="242" t="str">
        <f t="shared" si="1"/>
        <v>Unfilled fields to left</v>
      </c>
      <c r="X14" s="25"/>
      <c r="Y14" s="12"/>
    </row>
    <row r="15" spans="1:29">
      <c r="B15" s="186" t="s">
        <v>1102</v>
      </c>
      <c r="C15" s="184" t="s">
        <v>1055</v>
      </c>
      <c r="D15" s="179" t="s">
        <v>459</v>
      </c>
      <c r="E15" s="35"/>
      <c r="F15" s="21"/>
      <c r="G15" s="21"/>
      <c r="H15" s="20"/>
      <c r="I15" s="36"/>
      <c r="J15" s="300"/>
      <c r="K15" s="302"/>
      <c r="L15" s="302"/>
      <c r="M15" s="302"/>
      <c r="N15" s="242">
        <f t="shared" si="0"/>
        <v>0</v>
      </c>
      <c r="O15" s="12"/>
      <c r="P15" s="12"/>
      <c r="S15" s="35" t="str">
        <f t="shared" si="3"/>
        <v>Enter data here</v>
      </c>
      <c r="T15" s="35" t="str">
        <f t="shared" si="2"/>
        <v>Use column to left</v>
      </c>
      <c r="U15" s="35" t="s">
        <v>1100</v>
      </c>
      <c r="V15" s="242" t="str">
        <f t="shared" si="1"/>
        <v>Unfilled fields to left</v>
      </c>
      <c r="X15" s="25"/>
      <c r="Y15" s="12"/>
    </row>
    <row r="16" spans="1:29">
      <c r="B16" s="186" t="s">
        <v>1102</v>
      </c>
      <c r="C16" s="184"/>
      <c r="D16" s="179"/>
      <c r="E16" s="35"/>
      <c r="F16" s="21"/>
      <c r="G16" s="21"/>
      <c r="H16" s="20"/>
      <c r="I16" s="36"/>
      <c r="J16" s="300"/>
      <c r="K16" s="302"/>
      <c r="L16" s="302"/>
      <c r="M16" s="302"/>
      <c r="N16" s="242">
        <f t="shared" si="0"/>
        <v>0</v>
      </c>
      <c r="O16" s="12"/>
      <c r="P16" s="12"/>
      <c r="S16" s="35" t="str">
        <f t="shared" si="3"/>
        <v>Enter data here</v>
      </c>
      <c r="T16" s="35" t="str">
        <f t="shared" si="2"/>
        <v>Use column to left</v>
      </c>
      <c r="U16" s="35" t="s">
        <v>1100</v>
      </c>
      <c r="V16" s="242" t="str">
        <f t="shared" si="1"/>
        <v>Unfilled fields to left</v>
      </c>
      <c r="X16" s="25"/>
      <c r="Y16" s="12"/>
    </row>
    <row r="17" spans="2:29">
      <c r="B17" s="16"/>
      <c r="C17" s="15"/>
      <c r="D17" s="179"/>
      <c r="E17" s="35"/>
      <c r="F17" s="21"/>
      <c r="G17" s="21"/>
      <c r="H17" s="20"/>
      <c r="I17" s="36"/>
      <c r="J17" s="300"/>
      <c r="K17" s="302"/>
      <c r="L17" s="302"/>
      <c r="M17" s="302"/>
      <c r="N17" s="242">
        <f t="shared" si="0"/>
        <v>0</v>
      </c>
      <c r="O17" s="12"/>
      <c r="P17" s="12"/>
      <c r="S17" s="35" t="str">
        <f t="shared" si="3"/>
        <v/>
      </c>
      <c r="T17" s="35" t="str">
        <f t="shared" si="2"/>
        <v/>
      </c>
      <c r="U17" s="35"/>
      <c r="V17" s="242" t="str">
        <f t="shared" si="1"/>
        <v>Unfilled fields to left</v>
      </c>
      <c r="X17" s="25"/>
      <c r="Y17" s="12"/>
    </row>
    <row r="18" spans="2:29">
      <c r="C18" s="17"/>
      <c r="D18" s="17"/>
      <c r="E18" s="506"/>
      <c r="F18" s="26"/>
      <c r="G18" s="27"/>
      <c r="H18" s="22"/>
      <c r="I18" s="22"/>
      <c r="J18" s="41"/>
      <c r="K18" s="41"/>
      <c r="L18" s="41"/>
      <c r="M18" s="41"/>
      <c r="N18" s="41"/>
      <c r="S18" s="41"/>
      <c r="T18" s="41"/>
      <c r="U18" s="41"/>
      <c r="V18" s="41"/>
      <c r="X18" s="27"/>
      <c r="Y18" s="12"/>
    </row>
    <row r="19" spans="2:29">
      <c r="B19" s="145" t="s">
        <v>1103</v>
      </c>
      <c r="C19" s="145"/>
      <c r="D19" s="145"/>
      <c r="E19" s="301"/>
      <c r="F19" s="145"/>
      <c r="G19" s="145"/>
      <c r="H19" s="145"/>
      <c r="I19" s="145"/>
      <c r="J19" s="301"/>
      <c r="K19" s="301"/>
      <c r="L19" s="301"/>
      <c r="M19" s="301"/>
      <c r="N19" s="301"/>
      <c r="Q19"/>
      <c r="R19"/>
      <c r="S19" s="40"/>
      <c r="T19" s="40"/>
      <c r="U19" s="40"/>
      <c r="V19" s="40"/>
      <c r="W19" s="19"/>
      <c r="X19" s="19"/>
      <c r="Y19" s="19"/>
      <c r="Z19" s="19"/>
      <c r="AA19" s="19"/>
      <c r="AB19" s="19"/>
      <c r="AC19" s="19"/>
    </row>
    <row r="20" spans="2:29">
      <c r="B20" s="16" t="s">
        <v>1104</v>
      </c>
      <c r="C20" s="184" t="s">
        <v>1166</v>
      </c>
      <c r="D20" s="179" t="s">
        <v>459</v>
      </c>
      <c r="E20" s="35"/>
      <c r="F20" s="21"/>
      <c r="G20" s="21"/>
      <c r="H20" s="21"/>
      <c r="I20" s="21"/>
      <c r="J20" s="300"/>
      <c r="K20" s="306"/>
      <c r="L20" s="306"/>
      <c r="M20" s="306"/>
      <c r="N20" s="242">
        <f t="shared" ref="N20:N31" si="4">IF($D20="MWh/yr (LHV)",$E20,$J20*$E20*(1-$L20)/Conversion_kWh_to_MJ)</f>
        <v>0</v>
      </c>
      <c r="O20" s="246" t="str">
        <f>IFERROR(N20/N8,"")</f>
        <v/>
      </c>
      <c r="Q20" s="515">
        <f>IF($D20="MWh/yr (LHV)",$E20,$E20*MAX(0, $J20*(1-$L20)-2.441*$L20)/Conversion_kWh_to_MJ)</f>
        <v>0</v>
      </c>
      <c r="R20" s="245" t="str">
        <f>IFERROR(Q20/(SUM($Q$20:$Q$22)),"")</f>
        <v/>
      </c>
      <c r="S20" s="42"/>
      <c r="T20" s="42"/>
      <c r="U20" s="42"/>
      <c r="V20" s="42"/>
      <c r="X20" s="21"/>
      <c r="Y20" s="12"/>
    </row>
    <row r="21" spans="2:29" s="14" customFormat="1">
      <c r="B21" s="186" t="s">
        <v>1008</v>
      </c>
      <c r="C21" s="184" t="s">
        <v>1106</v>
      </c>
      <c r="D21" s="179" t="s">
        <v>459</v>
      </c>
      <c r="E21" s="35"/>
      <c r="F21" s="21"/>
      <c r="G21" s="21"/>
      <c r="H21" s="20"/>
      <c r="I21" s="33"/>
      <c r="J21" s="300"/>
      <c r="K21" s="302"/>
      <c r="L21" s="302"/>
      <c r="M21" s="302"/>
      <c r="N21" s="242">
        <f t="shared" si="4"/>
        <v>0</v>
      </c>
      <c r="O21" s="12"/>
      <c r="P21" s="12"/>
      <c r="Q21" s="515">
        <f>IF($D21="MWh/yr (LHV)",$E21,$E21*MAX(0, $J21*(1-$L21)-2.441*$L21)/Conversion_kWh_to_MJ)</f>
        <v>0</v>
      </c>
      <c r="R21" s="245" t="str">
        <f t="shared" ref="R21:R22" si="5">IFERROR(Q21/(SUM($Q$20:$Q$22)),"")</f>
        <v/>
      </c>
      <c r="S21" s="42"/>
      <c r="T21" s="42"/>
      <c r="U21" s="107"/>
      <c r="V21" s="12"/>
      <c r="W21" s="23"/>
      <c r="X21" s="21"/>
      <c r="Y21" s="23"/>
      <c r="Z21" s="42"/>
      <c r="AB21" s="12"/>
    </row>
    <row r="22" spans="2:29" s="14" customFormat="1">
      <c r="B22" s="186" t="s">
        <v>1008</v>
      </c>
      <c r="C22" s="184" t="s">
        <v>1107</v>
      </c>
      <c r="D22" s="179" t="s">
        <v>459</v>
      </c>
      <c r="E22" s="35"/>
      <c r="F22" s="21"/>
      <c r="G22" s="21"/>
      <c r="H22" s="20"/>
      <c r="I22" s="20"/>
      <c r="J22" s="302"/>
      <c r="K22" s="302"/>
      <c r="L22" s="302"/>
      <c r="M22" s="302"/>
      <c r="N22" s="242">
        <f t="shared" si="4"/>
        <v>0</v>
      </c>
      <c r="O22" s="12"/>
      <c r="P22" s="12"/>
      <c r="Q22" s="515">
        <f>IF($D22="MWh/yr (LHV)",$E22,$E22*MAX(0, $J22*(1-$L22)-2.441*$L22)/Conversion_kWh_to_MJ)</f>
        <v>0</v>
      </c>
      <c r="R22" s="245" t="str">
        <f t="shared" si="5"/>
        <v/>
      </c>
      <c r="S22" s="42"/>
      <c r="T22" s="42"/>
      <c r="U22" s="107"/>
      <c r="V22" s="12"/>
      <c r="W22" s="23"/>
      <c r="X22" s="21"/>
      <c r="Y22" s="23"/>
      <c r="Z22" s="42"/>
      <c r="AB22" s="12"/>
    </row>
    <row r="23" spans="2:29" s="14" customFormat="1">
      <c r="B23" s="186" t="s">
        <v>1013</v>
      </c>
      <c r="C23" s="184" t="s">
        <v>1108</v>
      </c>
      <c r="D23" s="179" t="s">
        <v>459</v>
      </c>
      <c r="E23" s="35"/>
      <c r="F23" s="21"/>
      <c r="G23" s="21"/>
      <c r="H23" s="20"/>
      <c r="I23" s="20"/>
      <c r="J23" s="302"/>
      <c r="K23" s="302"/>
      <c r="L23" s="302"/>
      <c r="M23" s="302"/>
      <c r="N23" s="242">
        <f t="shared" si="4"/>
        <v>0</v>
      </c>
      <c r="O23" s="12"/>
      <c r="P23" s="12"/>
      <c r="Q23" s="12"/>
      <c r="R23" s="12"/>
      <c r="S23" s="107"/>
      <c r="T23" s="107"/>
      <c r="U23" s="107"/>
      <c r="V23" s="12"/>
      <c r="W23" s="23"/>
      <c r="X23" s="21"/>
      <c r="Y23" s="23"/>
      <c r="Z23" s="42"/>
      <c r="AB23" s="12"/>
    </row>
    <row r="24" spans="2:29" s="14" customFormat="1">
      <c r="B24" s="186" t="s">
        <v>1013</v>
      </c>
      <c r="C24" s="184" t="s">
        <v>1015</v>
      </c>
      <c r="D24" s="179" t="s">
        <v>459</v>
      </c>
      <c r="E24" s="35"/>
      <c r="F24" s="21"/>
      <c r="G24" s="21"/>
      <c r="H24" s="20"/>
      <c r="I24" s="20"/>
      <c r="J24" s="302"/>
      <c r="K24" s="302"/>
      <c r="L24" s="302"/>
      <c r="M24" s="302"/>
      <c r="N24" s="242">
        <f t="shared" si="4"/>
        <v>0</v>
      </c>
      <c r="O24" s="12"/>
      <c r="P24" s="12"/>
      <c r="Q24" s="12"/>
      <c r="R24" s="12"/>
      <c r="S24" s="107"/>
      <c r="T24" s="107"/>
      <c r="U24" s="107"/>
      <c r="V24" s="12"/>
      <c r="W24" s="23"/>
      <c r="X24" s="21"/>
      <c r="Y24" s="23"/>
      <c r="Z24" s="42"/>
      <c r="AB24" s="12"/>
    </row>
    <row r="25" spans="2:29" s="14" customFormat="1">
      <c r="B25" s="186" t="s">
        <v>1016</v>
      </c>
      <c r="C25" s="184" t="s">
        <v>1017</v>
      </c>
      <c r="D25" s="179" t="s">
        <v>459</v>
      </c>
      <c r="E25" s="35"/>
      <c r="F25" s="21"/>
      <c r="G25" s="21"/>
      <c r="H25" s="20"/>
      <c r="I25" s="36"/>
      <c r="J25" s="300"/>
      <c r="K25" s="302"/>
      <c r="L25" s="302"/>
      <c r="M25" s="302"/>
      <c r="N25" s="242">
        <f t="shared" si="4"/>
        <v>0</v>
      </c>
      <c r="O25" s="12"/>
      <c r="P25" s="12"/>
      <c r="Q25" s="12"/>
      <c r="R25" s="12"/>
      <c r="S25" s="107"/>
      <c r="T25" s="107"/>
      <c r="U25" s="107"/>
      <c r="V25" s="12"/>
      <c r="X25" s="21"/>
    </row>
    <row r="26" spans="2:29" s="14" customFormat="1">
      <c r="B26" s="186" t="s">
        <v>1016</v>
      </c>
      <c r="C26" s="184" t="s">
        <v>1018</v>
      </c>
      <c r="D26" s="179" t="s">
        <v>459</v>
      </c>
      <c r="E26" s="35"/>
      <c r="F26" s="21"/>
      <c r="G26" s="21"/>
      <c r="H26" s="20"/>
      <c r="I26" s="36"/>
      <c r="J26" s="300"/>
      <c r="K26" s="302"/>
      <c r="L26" s="302"/>
      <c r="M26" s="302"/>
      <c r="N26" s="242">
        <f t="shared" si="4"/>
        <v>0</v>
      </c>
      <c r="O26" s="12"/>
      <c r="P26" s="12"/>
      <c r="Q26" s="12"/>
      <c r="R26" s="12"/>
      <c r="S26" s="107"/>
      <c r="T26" s="107"/>
      <c r="U26" s="107"/>
      <c r="V26" s="12"/>
      <c r="X26" s="21"/>
    </row>
    <row r="27" spans="2:29" s="14" customFormat="1">
      <c r="B27" s="186" t="s">
        <v>1057</v>
      </c>
      <c r="C27" s="184" t="s">
        <v>1117</v>
      </c>
      <c r="D27" s="179" t="s">
        <v>459</v>
      </c>
      <c r="E27" s="35"/>
      <c r="F27" s="34"/>
      <c r="G27" s="21"/>
      <c r="H27" s="20"/>
      <c r="I27" s="36"/>
      <c r="J27" s="300"/>
      <c r="K27" s="302"/>
      <c r="L27" s="302"/>
      <c r="M27" s="302"/>
      <c r="N27" s="242">
        <f t="shared" si="4"/>
        <v>0</v>
      </c>
      <c r="O27" s="12"/>
      <c r="P27" s="12"/>
      <c r="Q27" s="12"/>
      <c r="R27" s="12"/>
      <c r="S27" s="300">
        <f>1*1000</f>
        <v>1000</v>
      </c>
      <c r="T27" s="477"/>
      <c r="U27" s="35" t="s">
        <v>1118</v>
      </c>
      <c r="V27" s="242" t="str">
        <f>IFERROR(IF(D27="tonnes/yr", $S27*$E27/($N$20*3.6), $T27*$E27*3.6/($N$20*3.6)), "Unfilled fields to left")</f>
        <v>Unfilled fields to left</v>
      </c>
      <c r="X27" s="21"/>
    </row>
    <row r="28" spans="2:29" s="14" customFormat="1">
      <c r="B28" s="186" t="s">
        <v>1113</v>
      </c>
      <c r="C28" s="184" t="s">
        <v>1073</v>
      </c>
      <c r="D28" s="179" t="s">
        <v>459</v>
      </c>
      <c r="E28" s="35"/>
      <c r="F28" s="34"/>
      <c r="G28" s="21"/>
      <c r="H28" s="20"/>
      <c r="I28" s="36"/>
      <c r="J28" s="300"/>
      <c r="K28" s="302"/>
      <c r="L28" s="302"/>
      <c r="M28" s="302"/>
      <c r="N28" s="242">
        <f t="shared" si="4"/>
        <v>0</v>
      </c>
      <c r="O28" s="12"/>
      <c r="P28" s="12"/>
      <c r="Q28" s="12"/>
      <c r="R28" s="12"/>
      <c r="S28" s="300">
        <f>28*1000</f>
        <v>28000</v>
      </c>
      <c r="T28" s="477"/>
      <c r="U28" s="35" t="s">
        <v>1059</v>
      </c>
      <c r="V28" s="242" t="str">
        <f>IFERROR(IF(D28="tonnes/yr", $S28*$E28/($N$20*3.6), $T28*$E28*3.6/($N$20*3.6)), "Unfilled fields to left")</f>
        <v>Unfilled fields to left</v>
      </c>
      <c r="X28" s="21"/>
    </row>
    <row r="29" spans="2:29" s="14" customFormat="1">
      <c r="B29" s="186" t="s">
        <v>1113</v>
      </c>
      <c r="C29" s="184" t="s">
        <v>1075</v>
      </c>
      <c r="D29" s="179" t="s">
        <v>459</v>
      </c>
      <c r="E29" s="35"/>
      <c r="F29" s="21"/>
      <c r="G29" s="21"/>
      <c r="H29" s="20"/>
      <c r="I29" s="36"/>
      <c r="J29" s="300"/>
      <c r="K29" s="302"/>
      <c r="L29" s="302"/>
      <c r="M29" s="302"/>
      <c r="N29" s="242">
        <f t="shared" si="4"/>
        <v>0</v>
      </c>
      <c r="O29" s="12"/>
      <c r="P29" s="12"/>
      <c r="Q29" s="12"/>
      <c r="R29" s="12"/>
      <c r="S29" s="35">
        <v>265000</v>
      </c>
      <c r="T29" s="518"/>
      <c r="U29" s="35" t="s">
        <v>1059</v>
      </c>
      <c r="V29" s="242" t="str">
        <f>IFERROR(IF(D29="tonnes/yr", $S29*$E29/($N$20*3.6), $T29*$E29*3.6/($N$20*3.6)), "Unfilled fields to left")</f>
        <v>Unfilled fields to left</v>
      </c>
      <c r="X29" s="21"/>
    </row>
    <row r="30" spans="2:29" s="14" customFormat="1">
      <c r="B30" s="16"/>
      <c r="C30" s="15"/>
      <c r="D30" s="179"/>
      <c r="E30" s="35"/>
      <c r="F30" s="21"/>
      <c r="G30" s="21"/>
      <c r="H30" s="20"/>
      <c r="I30" s="36"/>
      <c r="J30" s="300"/>
      <c r="K30" s="302"/>
      <c r="L30" s="302"/>
      <c r="M30" s="302"/>
      <c r="N30" s="242">
        <f t="shared" si="4"/>
        <v>0</v>
      </c>
      <c r="O30" s="12"/>
      <c r="P30" s="12"/>
      <c r="Q30" s="12"/>
      <c r="R30" s="12"/>
      <c r="S30" s="300"/>
      <c r="T30" s="477"/>
      <c r="U30" s="302"/>
      <c r="V30" s="242" t="str">
        <f>IFERROR(IF(D30="tonnes/yr", $S30*$E30/($N$20*3.6), $T30*$E30*3.6/($N$20*3.6)), "Unfilled fields to left")</f>
        <v>Unfilled fields to left</v>
      </c>
      <c r="X30" s="21"/>
    </row>
    <row r="31" spans="2:29" s="14" customFormat="1">
      <c r="B31" s="16"/>
      <c r="C31" s="15"/>
      <c r="D31" s="179"/>
      <c r="E31" s="35"/>
      <c r="F31" s="21"/>
      <c r="G31" s="21"/>
      <c r="H31" s="20"/>
      <c r="I31" s="36"/>
      <c r="J31" s="300"/>
      <c r="K31" s="302"/>
      <c r="L31" s="302"/>
      <c r="M31" s="302"/>
      <c r="N31" s="242">
        <f t="shared" si="4"/>
        <v>0</v>
      </c>
      <c r="O31" s="12"/>
      <c r="P31" s="12"/>
      <c r="Q31" s="12"/>
      <c r="R31" s="12"/>
      <c r="S31" s="300"/>
      <c r="T31" s="477"/>
      <c r="U31" s="302"/>
      <c r="V31" s="242" t="str">
        <f>IFERROR(IF(D31="tonnes/yr", $S31*$E31/($N$20*3.6), $T31*$E31*3.6/($N$20*3.6)), "Unfilled fields to left")</f>
        <v>Unfilled fields to left</v>
      </c>
      <c r="X31" s="21"/>
    </row>
    <row r="32" spans="2:29">
      <c r="C32" s="17"/>
      <c r="D32" s="17"/>
      <c r="E32" s="140"/>
      <c r="F32" s="17"/>
      <c r="H32" s="18"/>
      <c r="I32" s="18"/>
      <c r="J32" s="40"/>
      <c r="K32" s="40"/>
      <c r="L32" s="40"/>
      <c r="M32" s="40"/>
      <c r="N32" s="40"/>
      <c r="O32" s="12"/>
      <c r="P32" s="12"/>
      <c r="S32" s="40"/>
      <c r="T32" s="40"/>
      <c r="U32" s="40"/>
      <c r="V32" s="40"/>
      <c r="Y32" s="12"/>
    </row>
    <row r="33" spans="2:25">
      <c r="D33" s="17"/>
      <c r="E33" s="140"/>
      <c r="J33" s="39"/>
      <c r="K33" s="39"/>
      <c r="L33" s="39"/>
      <c r="M33" s="39"/>
      <c r="O33" s="12"/>
      <c r="P33" s="12"/>
      <c r="S33" s="39"/>
      <c r="T33" s="39"/>
      <c r="U33" s="38" t="s">
        <v>1114</v>
      </c>
      <c r="V33" s="153">
        <f>SUM(V7:V32)</f>
        <v>0</v>
      </c>
      <c r="Y33" s="12"/>
    </row>
    <row r="34" spans="2:25">
      <c r="B34" s="145" t="s">
        <v>132</v>
      </c>
      <c r="C34" s="159"/>
      <c r="D34" s="159"/>
      <c r="E34" s="499"/>
      <c r="I34" s="12"/>
      <c r="J34" s="107"/>
      <c r="K34" s="107"/>
      <c r="L34" s="107"/>
      <c r="M34" s="107"/>
      <c r="N34" s="107"/>
      <c r="O34" s="12"/>
      <c r="P34" s="12"/>
      <c r="S34" s="107"/>
      <c r="T34" s="107"/>
      <c r="U34" s="107"/>
      <c r="Y34" s="12"/>
    </row>
    <row r="35" spans="2:25">
      <c r="B35" s="16" t="s">
        <v>1086</v>
      </c>
      <c r="C35" s="15" t="s">
        <v>1087</v>
      </c>
      <c r="D35" s="15" t="s">
        <v>1088</v>
      </c>
      <c r="E35" s="501"/>
      <c r="G35" s="19"/>
      <c r="H35" s="12"/>
      <c r="I35" s="12"/>
      <c r="J35" s="107"/>
      <c r="K35" s="107"/>
      <c r="L35" s="107"/>
      <c r="M35" s="107"/>
      <c r="N35" s="107"/>
      <c r="O35" s="12"/>
      <c r="P35" s="12"/>
      <c r="S35" s="107"/>
      <c r="T35" s="107"/>
      <c r="U35" s="107"/>
      <c r="V35" s="12"/>
      <c r="X35" s="25"/>
      <c r="Y35" s="12"/>
    </row>
    <row r="36" spans="2:25">
      <c r="B36" s="16" t="s">
        <v>1119</v>
      </c>
      <c r="C36" s="15" t="s">
        <v>1120</v>
      </c>
      <c r="D36" s="15" t="s">
        <v>299</v>
      </c>
      <c r="E36" s="501"/>
      <c r="H36" s="12"/>
      <c r="I36" s="12"/>
      <c r="J36" s="107"/>
      <c r="K36" s="107"/>
      <c r="L36" s="107"/>
      <c r="M36" s="107"/>
      <c r="N36" s="107"/>
      <c r="O36" s="12"/>
      <c r="P36" s="12"/>
      <c r="S36" s="107"/>
      <c r="T36" s="107"/>
      <c r="U36" s="107"/>
      <c r="V36" s="12"/>
      <c r="X36" s="25"/>
      <c r="Y36" s="12"/>
    </row>
    <row r="37" spans="2:25">
      <c r="B37" s="16"/>
      <c r="C37" s="15"/>
      <c r="D37" s="15"/>
      <c r="E37" s="507"/>
      <c r="J37" s="39"/>
      <c r="K37" s="39"/>
      <c r="L37" s="39"/>
      <c r="M37" s="39"/>
      <c r="S37" s="39"/>
      <c r="T37" s="39"/>
      <c r="U37" s="39"/>
      <c r="X37" s="25"/>
    </row>
    <row r="38" spans="2:25">
      <c r="B38" s="16"/>
      <c r="C38" s="15"/>
      <c r="D38" s="15"/>
      <c r="E38" s="507"/>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customSheetView>
    <customSheetView guid="{F468A2FD-7987-4A9D-8BAE-1AACE523607F}" state="hidden">
      <selection activeCell="C2" sqref="C2:E2"/>
      <pageMargins left="0" right="0" top="0" bottom="0" header="0" footer="0"/>
    </customSheetView>
    <customSheetView guid="{D97B1299-69D0-4EE0-B673-CCF74742F96B}">
      <pageMargins left="0" right="0" top="0" bottom="0" header="0" footer="0"/>
    </customSheetView>
    <customSheetView guid="{3F0A4FBA-5323-448F-A023-B3E14C54064C}" state="hidden">
      <pageMargins left="0" right="0" top="0" bottom="0" header="0" footer="0"/>
    </customSheetView>
    <customSheetView guid="{E6EFD927-84B2-4D06-BB59-59D9DF522DA2}" showGridLines="0" state="hidden">
      <pane xSplit="3" ySplit="5" topLeftCell="D6" activePane="bottomRight" state="frozen"/>
      <selection pane="bottomRight"/>
      <pageMargins left="0" right="0" top="0" bottom="0" header="0" footer="0"/>
    </customSheetView>
    <customSheetView guid="{0E935136-9A80-44B6-88D5-61E64D742049}" showGridLines="0" state="hidden">
      <pane xSplit="3" ySplit="5" topLeftCell="D6" activePane="bottomRight" state="frozen"/>
      <selection pane="bottomRight" activeCell="I2" sqref="I2:K2"/>
      <pageMargins left="0" right="0" top="0" bottom="0" header="0" footer="0"/>
    </customSheetView>
    <customSheetView guid="{1C16EB38-F785-4168-9938-104594734038}" showGridLines="0" state="hidden">
      <pane xSplit="3" ySplit="5" topLeftCell="D6" activePane="bottomRight" state="frozen"/>
      <selection pane="bottomRight" activeCell="C2" sqref="C2:E2"/>
      <pageMargins left="0" right="0" top="0" bottom="0" header="0" footer="0"/>
    </customSheetView>
    <customSheetView guid="{EECBF9DF-6D77-4263-85DA-71E40216BADD}" showGridLines="0" state="hidden">
      <pane xSplit="3" ySplit="5" topLeftCell="D6" activePane="bottomRight" state="frozen"/>
      <selection pane="bottomRight"/>
      <pageMargins left="0" right="0" top="0" bottom="0" header="0" footer="0"/>
    </customSheetView>
    <customSheetView guid="{F03309BC-D3FA-4CF2-833B-D6D9A95FE1FB}" showGridLines="0" state="hidden">
      <pane xSplit="3" ySplit="5" topLeftCell="D6" activePane="bottomRight" state="frozen"/>
      <selection pane="bottomRight"/>
      <pageMargins left="0" right="0" top="0" bottom="0" header="0" footer="0"/>
    </customSheetView>
  </customSheetViews>
  <mergeCells count="1">
    <mergeCell ref="I2:K2"/>
  </mergeCells>
  <dataValidations count="5">
    <dataValidation type="list" allowBlank="1" showInputMessage="1" showErrorMessage="1" sqref="D8:D17 D20:D31" xr:uid="{DFB0E8E8-1694-4CD4-8A28-E509B018B878}">
      <formula1>Flow_units</formula1>
    </dataValidation>
    <dataValidation type="custom" allowBlank="1" showInputMessage="1" showErrorMessage="1" error="Please do not change this formula" prompt="Please do not change this formula" sqref="V6:V1048576 W4 V1:V4 S5:V5" xr:uid="{4BBF7B6A-57C7-4A1B-B4F1-F909ED4110FC}">
      <formula1>"Please do not change this formula"</formula1>
    </dataValidation>
    <dataValidation type="custom" allowBlank="1" showInputMessage="1" showErrorMessage="1" error="Please do not change this formula" sqref="R23:R1048576 R1:R19 N1:Q1048576" xr:uid="{7A1A26FE-7FBA-4809-9646-7C0FA5C1E91A}">
      <formula1>"Please do not change this formula"</formula1>
    </dataValidation>
    <dataValidation type="custom" allowBlank="1" showInputMessage="1" showErrorMessage="1" error="Please do not change" sqref="R20:R22" xr:uid="{6FC06A9D-2BBF-477E-9D4D-739902489ABE}">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9:T32" xr:uid="{D59AAD47-08F8-4BC5-91ED-D3601CDA1F1A}">
      <formula1>0</formula1>
    </dataValidation>
  </dataValidations>
  <hyperlinks>
    <hyperlink ref="I2:J2" location="'NG Processing'!A1" display="Go to the next step of this pathway" xr:uid="{5F379D66-C081-4040-B62F-20F58D9514FF}"/>
    <hyperlink ref="I2:K2" location="Crude_Refine!A1" display="Go to the next step of this pathway" xr:uid="{ED808053-A988-44E2-BA2D-1F9ED4562FE1}"/>
  </hyperlinks>
  <pageMargins left="0" right="0" top="0" bottom="0" header="0" footer="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262" id="{00000000-000E-0000-1E00-000003000000}">
            <xm:f>AND(OR(Path&lt;&gt;Units!$B$130,AND(Path=Units!$B$130, Initial_questions!$E$27&lt;&gt;Units!$L$124)),Master_Switch="On")</xm:f>
            <x14:dxf>
              <font>
                <color theme="0"/>
              </font>
              <fill>
                <patternFill>
                  <fgColor theme="0"/>
                  <bgColor theme="0"/>
                </patternFill>
              </fill>
              <border>
                <left/>
                <right/>
                <top/>
                <bottom/>
                <vertical/>
                <horizontal/>
              </border>
            </x14:dxf>
          </x14:cfRule>
          <xm:sqref>A2:XFD101</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1D034-8EAF-45D8-BE43-823340B833E0}">
  <sheetPr>
    <tabColor theme="3" tint="-0.249977111117893"/>
  </sheetPr>
  <dimension ref="A1:AC197"/>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55"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18.7265625" customWidth="1"/>
    <col min="16" max="16" width="8.54296875" style="12" customWidth="1"/>
    <col min="17" max="17" width="17.1796875" style="12" customWidth="1"/>
    <col min="18" max="18" width="17.54296875" style="12" customWidth="1"/>
    <col min="19" max="20" width="20.7265625" style="13" customWidth="1"/>
    <col min="21" max="21" width="22.7265625" style="13" customWidth="1"/>
    <col min="22" max="22" width="20.26953125" style="39" customWidth="1"/>
    <col min="23" max="23" width="7.1796875" style="12"/>
    <col min="24" max="24" width="26" style="12" customWidth="1"/>
    <col min="26" max="16384" width="7.1796875" style="12"/>
  </cols>
  <sheetData>
    <row r="1" spans="1:29" ht="31.9" customHeight="1">
      <c r="A1" s="80" t="str">
        <f>IF(AND(OR(Path&lt;&gt;Units!$B$130,AND(Path=Units!$B$130, Initial_questions!$E$27&lt;&gt;Units!$L$124)),Master_Switch="On"),"User should not fill in this sheet, but switch to other non-blank GHG worksheets","")</f>
        <v>User should not fill in this sheet, but switch to other non-blank GHG worksheets</v>
      </c>
      <c r="E1" s="256"/>
    </row>
    <row r="2" spans="1:29" ht="20.5" customHeight="1">
      <c r="B2" s="80"/>
      <c r="E2" s="256"/>
      <c r="I2" s="729" t="s">
        <v>1093</v>
      </c>
      <c r="J2" s="731"/>
      <c r="K2" s="732"/>
      <c r="L2" s="39"/>
      <c r="M2" s="39"/>
    </row>
    <row r="3" spans="1:29" ht="15" customHeight="1">
      <c r="E3" s="256"/>
    </row>
    <row r="4" spans="1:29" ht="15.65" customHeight="1" thickBot="1">
      <c r="B4" s="3"/>
      <c r="C4" s="3"/>
      <c r="D4" s="3"/>
      <c r="E4" s="455"/>
      <c r="F4" s="3"/>
      <c r="G4" s="3"/>
      <c r="H4" s="1"/>
      <c r="I4" s="1"/>
      <c r="J4" s="1"/>
      <c r="K4" s="1"/>
      <c r="L4" s="1"/>
      <c r="M4" s="1"/>
      <c r="N4" s="37"/>
      <c r="O4" s="1"/>
      <c r="P4" s="3"/>
      <c r="Q4" s="3"/>
      <c r="R4" s="3"/>
      <c r="S4" s="1"/>
      <c r="T4" s="1"/>
      <c r="U4" s="1"/>
      <c r="V4" s="37"/>
      <c r="W4" s="37"/>
      <c r="X4" s="3"/>
    </row>
    <row r="5" spans="1:29"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9" ht="15" thickTop="1">
      <c r="E6" s="457"/>
      <c r="R6"/>
      <c r="S6"/>
      <c r="T6"/>
      <c r="U6"/>
      <c r="V6"/>
    </row>
    <row r="7" spans="1:29">
      <c r="B7" s="145" t="s">
        <v>1097</v>
      </c>
      <c r="C7" s="145"/>
      <c r="D7" s="145"/>
      <c r="E7" s="324"/>
      <c r="F7" s="145"/>
      <c r="G7" s="145"/>
      <c r="H7" s="145"/>
      <c r="I7" s="145"/>
      <c r="J7" s="145"/>
      <c r="K7" s="145"/>
      <c r="L7" s="145"/>
      <c r="M7" s="145"/>
      <c r="N7" s="301"/>
      <c r="R7"/>
      <c r="S7"/>
      <c r="T7"/>
      <c r="U7"/>
      <c r="V7"/>
      <c r="W7" s="19"/>
      <c r="X7" s="19"/>
      <c r="Y7" s="19"/>
      <c r="Z7" s="19"/>
      <c r="AA7" s="19"/>
      <c r="AB7" s="19"/>
      <c r="AC7" s="19"/>
    </row>
    <row r="8" spans="1:29">
      <c r="B8" s="16" t="s">
        <v>1115</v>
      </c>
      <c r="C8" s="184" t="s">
        <v>1166</v>
      </c>
      <c r="D8" s="179" t="s">
        <v>459</v>
      </c>
      <c r="E8" s="35"/>
      <c r="F8" s="21"/>
      <c r="G8" s="21"/>
      <c r="H8" s="20"/>
      <c r="I8" s="20"/>
      <c r="J8" s="300"/>
      <c r="K8" s="302"/>
      <c r="L8" s="302"/>
      <c r="M8" s="302"/>
      <c r="N8" s="242">
        <f t="shared" ref="N8:N17" si="0">IF($D8="MWh/yr (LHV)",$E8,$J8*$E8*(1-$L8)/Conversion_kWh_to_MJ)</f>
        <v>0</v>
      </c>
      <c r="O8" s="12"/>
      <c r="S8" s="107"/>
      <c r="T8" s="107"/>
      <c r="U8" s="107"/>
      <c r="V8" s="12"/>
      <c r="X8" s="24"/>
      <c r="Y8" s="12"/>
    </row>
    <row r="9" spans="1:29">
      <c r="B9" s="186" t="s">
        <v>1021</v>
      </c>
      <c r="C9" s="184" t="s">
        <v>1098</v>
      </c>
      <c r="D9" s="179" t="s">
        <v>479</v>
      </c>
      <c r="E9" s="35"/>
      <c r="F9" s="21"/>
      <c r="G9" s="21"/>
      <c r="H9" s="20"/>
      <c r="I9" s="36"/>
      <c r="J9" s="300"/>
      <c r="K9" s="302"/>
      <c r="L9" s="302"/>
      <c r="M9" s="302"/>
      <c r="N9" s="242">
        <f t="shared" si="0"/>
        <v>0</v>
      </c>
      <c r="O9" s="12"/>
      <c r="S9" s="35" t="str">
        <f t="shared" ref="S9:S17" si="1">IF(B9="", "", IF(D9="MWh/yr (LHV)", "Use column to right", "Enter data here"))</f>
        <v>Use column to right</v>
      </c>
      <c r="T9" s="300" t="e">
        <f>INDEX(Proj_grid_intensity_kWh,MATCH(Operations_year,Proj_grid_year,0))/Conversion_kWh_to_MJ</f>
        <v>#N/A</v>
      </c>
      <c r="U9" s="35" t="s">
        <v>1064</v>
      </c>
      <c r="V9" s="242" t="str">
        <f t="shared" ref="V9:V17" si="2">IFERROR(IF(D9="tonnes/yr", $S9*$E9/($N$20*3.6), $T9*$E9*3.6/($N$20*3.6)), "Unfilled fields to left")</f>
        <v>Unfilled fields to left</v>
      </c>
      <c r="X9" s="25"/>
      <c r="Y9" s="12"/>
    </row>
    <row r="10" spans="1:29">
      <c r="B10" s="186" t="s">
        <v>1021</v>
      </c>
      <c r="C10" s="184"/>
      <c r="D10" s="179"/>
      <c r="E10" s="35"/>
      <c r="F10" s="21"/>
      <c r="G10" s="21"/>
      <c r="H10" s="20"/>
      <c r="I10" s="36"/>
      <c r="J10" s="300"/>
      <c r="K10" s="302"/>
      <c r="L10" s="302"/>
      <c r="M10" s="302"/>
      <c r="N10" s="242">
        <f t="shared" si="0"/>
        <v>0</v>
      </c>
      <c r="O10" s="12"/>
      <c r="S10" s="35" t="str">
        <f t="shared" si="1"/>
        <v>Enter data here</v>
      </c>
      <c r="T10" s="35" t="str">
        <f t="shared" ref="T10:T17" si="3">IF(B10="", "", IF(D10="MWh/yr (LHV)", "Enter data here", "Use column to left"))</f>
        <v>Use column to left</v>
      </c>
      <c r="U10" s="35" t="s">
        <v>1100</v>
      </c>
      <c r="V10" s="242" t="str">
        <f t="shared" si="2"/>
        <v>Unfilled fields to left</v>
      </c>
      <c r="X10" s="25"/>
      <c r="Y10" s="12"/>
    </row>
    <row r="11" spans="1:29">
      <c r="B11" s="186" t="s">
        <v>1042</v>
      </c>
      <c r="C11" s="184" t="s">
        <v>1043</v>
      </c>
      <c r="D11" s="179" t="s">
        <v>459</v>
      </c>
      <c r="E11" s="35"/>
      <c r="F11" s="21"/>
      <c r="G11" s="21"/>
      <c r="H11" s="20"/>
      <c r="I11" s="36"/>
      <c r="J11" s="300"/>
      <c r="K11" s="302"/>
      <c r="L11" s="302"/>
      <c r="M11" s="302"/>
      <c r="N11" s="242">
        <f t="shared" si="0"/>
        <v>0</v>
      </c>
      <c r="O11" s="12"/>
      <c r="S11" s="35" t="str">
        <f t="shared" si="1"/>
        <v>Enter data here</v>
      </c>
      <c r="T11" s="35" t="str">
        <f t="shared" si="3"/>
        <v>Use column to left</v>
      </c>
      <c r="U11" s="35" t="s">
        <v>1100</v>
      </c>
      <c r="V11" s="242" t="str">
        <f t="shared" si="2"/>
        <v>Unfilled fields to left</v>
      </c>
      <c r="X11" s="25"/>
      <c r="Y11" s="12"/>
    </row>
    <row r="12" spans="1:29">
      <c r="B12" s="186" t="s">
        <v>1042</v>
      </c>
      <c r="C12" s="184" t="s">
        <v>1045</v>
      </c>
      <c r="D12" s="179" t="s">
        <v>459</v>
      </c>
      <c r="E12" s="35"/>
      <c r="F12" s="21"/>
      <c r="G12" s="21"/>
      <c r="H12" s="20"/>
      <c r="I12" s="36"/>
      <c r="J12" s="300"/>
      <c r="K12" s="302"/>
      <c r="L12" s="302"/>
      <c r="M12" s="302"/>
      <c r="N12" s="242">
        <f t="shared" si="0"/>
        <v>0</v>
      </c>
      <c r="O12" s="12"/>
      <c r="S12" s="35" t="str">
        <f t="shared" si="1"/>
        <v>Enter data here</v>
      </c>
      <c r="T12" s="35" t="str">
        <f t="shared" si="3"/>
        <v>Use column to left</v>
      </c>
      <c r="U12" s="35" t="s">
        <v>1100</v>
      </c>
      <c r="V12" s="242" t="str">
        <f t="shared" si="2"/>
        <v>Unfilled fields to left</v>
      </c>
      <c r="X12" s="25"/>
      <c r="Y12" s="12"/>
    </row>
    <row r="13" spans="1:29">
      <c r="B13" s="186" t="s">
        <v>1051</v>
      </c>
      <c r="C13" s="184" t="s">
        <v>1010</v>
      </c>
      <c r="D13" s="179" t="s">
        <v>459</v>
      </c>
      <c r="E13" s="35"/>
      <c r="F13" s="21"/>
      <c r="G13" s="21"/>
      <c r="H13" s="20"/>
      <c r="I13" s="36"/>
      <c r="J13" s="300"/>
      <c r="K13" s="302"/>
      <c r="L13" s="302"/>
      <c r="M13" s="302"/>
      <c r="N13" s="242">
        <f t="shared" si="0"/>
        <v>0</v>
      </c>
      <c r="O13" s="12"/>
      <c r="S13" s="35" t="str">
        <f t="shared" si="1"/>
        <v>Enter data here</v>
      </c>
      <c r="T13" s="35" t="str">
        <f t="shared" si="3"/>
        <v>Use column to left</v>
      </c>
      <c r="U13" s="35" t="s">
        <v>1100</v>
      </c>
      <c r="V13" s="242" t="str">
        <f t="shared" si="2"/>
        <v>Unfilled fields to left</v>
      </c>
      <c r="X13" s="25"/>
      <c r="Y13" s="12"/>
    </row>
    <row r="14" spans="1:29">
      <c r="B14" s="186" t="s">
        <v>1051</v>
      </c>
      <c r="C14" s="184" t="s">
        <v>1101</v>
      </c>
      <c r="D14" s="179" t="s">
        <v>459</v>
      </c>
      <c r="E14" s="35"/>
      <c r="F14" s="21"/>
      <c r="G14" s="21"/>
      <c r="H14" s="20"/>
      <c r="I14" s="36"/>
      <c r="J14" s="300"/>
      <c r="K14" s="302"/>
      <c r="L14" s="302"/>
      <c r="M14" s="302"/>
      <c r="N14" s="242">
        <f t="shared" si="0"/>
        <v>0</v>
      </c>
      <c r="O14" s="12"/>
      <c r="S14" s="35" t="str">
        <f t="shared" si="1"/>
        <v>Enter data here</v>
      </c>
      <c r="T14" s="35" t="str">
        <f t="shared" si="3"/>
        <v>Use column to left</v>
      </c>
      <c r="U14" s="35" t="s">
        <v>1100</v>
      </c>
      <c r="V14" s="242" t="str">
        <f t="shared" si="2"/>
        <v>Unfilled fields to left</v>
      </c>
      <c r="X14" s="25"/>
      <c r="Y14" s="12"/>
    </row>
    <row r="15" spans="1:29">
      <c r="B15" s="186" t="s">
        <v>1102</v>
      </c>
      <c r="C15" s="184" t="s">
        <v>1055</v>
      </c>
      <c r="D15" s="179" t="s">
        <v>459</v>
      </c>
      <c r="E15" s="35"/>
      <c r="F15" s="21"/>
      <c r="G15" s="21"/>
      <c r="H15" s="20"/>
      <c r="I15" s="36"/>
      <c r="J15" s="300"/>
      <c r="K15" s="302"/>
      <c r="L15" s="302"/>
      <c r="M15" s="302"/>
      <c r="N15" s="242">
        <f t="shared" si="0"/>
        <v>0</v>
      </c>
      <c r="O15" s="12"/>
      <c r="S15" s="35" t="str">
        <f t="shared" si="1"/>
        <v>Enter data here</v>
      </c>
      <c r="T15" s="35" t="str">
        <f t="shared" si="3"/>
        <v>Use column to left</v>
      </c>
      <c r="U15" s="35" t="s">
        <v>1100</v>
      </c>
      <c r="V15" s="242" t="str">
        <f t="shared" si="2"/>
        <v>Unfilled fields to left</v>
      </c>
      <c r="X15" s="25"/>
      <c r="Y15" s="12"/>
    </row>
    <row r="16" spans="1:29">
      <c r="B16" s="186" t="s">
        <v>1102</v>
      </c>
      <c r="C16" s="184"/>
      <c r="D16" s="179"/>
      <c r="E16" s="35"/>
      <c r="F16" s="21"/>
      <c r="G16" s="21"/>
      <c r="H16" s="20"/>
      <c r="I16" s="36"/>
      <c r="J16" s="300"/>
      <c r="K16" s="302"/>
      <c r="L16" s="302"/>
      <c r="M16" s="302"/>
      <c r="N16" s="242">
        <f t="shared" si="0"/>
        <v>0</v>
      </c>
      <c r="O16" s="12"/>
      <c r="S16" s="35" t="str">
        <f t="shared" si="1"/>
        <v>Enter data here</v>
      </c>
      <c r="T16" s="35" t="str">
        <f t="shared" si="3"/>
        <v>Use column to left</v>
      </c>
      <c r="U16" s="35" t="s">
        <v>1100</v>
      </c>
      <c r="V16" s="242" t="str">
        <f t="shared" si="2"/>
        <v>Unfilled fields to left</v>
      </c>
      <c r="X16" s="25"/>
      <c r="Y16" s="12"/>
    </row>
    <row r="17" spans="2:29">
      <c r="B17" s="16"/>
      <c r="C17" s="15"/>
      <c r="D17" s="179"/>
      <c r="E17" s="35"/>
      <c r="F17" s="21"/>
      <c r="G17" s="21"/>
      <c r="H17" s="20"/>
      <c r="I17" s="36"/>
      <c r="J17" s="300"/>
      <c r="K17" s="302"/>
      <c r="L17" s="302"/>
      <c r="M17" s="302"/>
      <c r="N17" s="242">
        <f t="shared" si="0"/>
        <v>0</v>
      </c>
      <c r="O17" s="12"/>
      <c r="S17" s="35" t="str">
        <f t="shared" si="1"/>
        <v/>
      </c>
      <c r="T17" s="35" t="str">
        <f t="shared" si="3"/>
        <v/>
      </c>
      <c r="U17" s="35"/>
      <c r="V17" s="242" t="str">
        <f t="shared" si="2"/>
        <v>Unfilled fields to left</v>
      </c>
      <c r="X17" s="25"/>
      <c r="Y17" s="12"/>
    </row>
    <row r="18" spans="2:29">
      <c r="C18" s="17"/>
      <c r="D18" s="17"/>
      <c r="E18" s="506"/>
      <c r="F18" s="26"/>
      <c r="G18" s="27"/>
      <c r="H18" s="22"/>
      <c r="I18" s="22"/>
      <c r="J18" s="41"/>
      <c r="K18" s="41"/>
      <c r="L18" s="41"/>
      <c r="M18" s="41"/>
      <c r="N18" s="41"/>
      <c r="O18" s="12"/>
      <c r="S18" s="41"/>
      <c r="T18" s="41"/>
      <c r="U18" s="41"/>
      <c r="V18" s="41"/>
      <c r="X18" s="27"/>
      <c r="Y18" s="12"/>
    </row>
    <row r="19" spans="2:29">
      <c r="B19" s="145" t="s">
        <v>1103</v>
      </c>
      <c r="C19" s="145"/>
      <c r="D19" s="145"/>
      <c r="E19" s="301"/>
      <c r="F19" s="145"/>
      <c r="G19" s="145"/>
      <c r="H19" s="145"/>
      <c r="I19" s="145"/>
      <c r="J19" s="301"/>
      <c r="K19" s="301"/>
      <c r="L19" s="301"/>
      <c r="M19" s="301"/>
      <c r="N19" s="301"/>
      <c r="R19"/>
      <c r="S19" s="40"/>
      <c r="T19" s="40"/>
      <c r="U19" s="40"/>
      <c r="V19" s="40"/>
      <c r="W19" s="19"/>
      <c r="X19" s="19"/>
      <c r="Y19" s="19"/>
      <c r="Z19" s="19"/>
      <c r="AA19" s="19"/>
      <c r="AB19" s="19"/>
      <c r="AC19" s="19"/>
    </row>
    <row r="20" spans="2:29">
      <c r="B20" s="16" t="s">
        <v>1104</v>
      </c>
      <c r="C20" s="184" t="s">
        <v>1167</v>
      </c>
      <c r="D20" s="179" t="s">
        <v>459</v>
      </c>
      <c r="E20" s="35"/>
      <c r="F20" s="21"/>
      <c r="G20" s="21"/>
      <c r="H20" s="21"/>
      <c r="I20" s="21"/>
      <c r="J20" s="300"/>
      <c r="K20" s="306"/>
      <c r="L20" s="306"/>
      <c r="M20" s="306"/>
      <c r="N20" s="242">
        <f t="shared" ref="N20:N40" si="4">IF($D20="MWh/yr (LHV)",$E20,$J20*$E20*(1-$L20)/Conversion_kWh_to_MJ)</f>
        <v>0</v>
      </c>
      <c r="O20" s="246" t="str">
        <f>IFERROR(N20/N8,"")</f>
        <v/>
      </c>
      <c r="Q20" s="515">
        <f t="shared" ref="Q20:Q30" si="5">IF($D20="MWh/yr (LHV)",$E20,$E20*MAX(0, $J20*(1-$L20)-2.441*$L20)/Conversion_kWh_to_MJ)</f>
        <v>0</v>
      </c>
      <c r="R20" s="245" t="str">
        <f>IFERROR(Q20/(SUM($Q$20:$Q$30)),"")</f>
        <v/>
      </c>
      <c r="S20" s="42"/>
      <c r="T20" s="42"/>
      <c r="U20" s="42"/>
      <c r="V20" s="42"/>
      <c r="X20" s="21"/>
      <c r="Y20" s="12"/>
    </row>
    <row r="21" spans="2:29" s="14" customFormat="1">
      <c r="B21" s="186" t="s">
        <v>1008</v>
      </c>
      <c r="C21" s="184" t="s">
        <v>1106</v>
      </c>
      <c r="D21" s="179" t="s">
        <v>459</v>
      </c>
      <c r="E21" s="35"/>
      <c r="F21" s="21"/>
      <c r="G21" s="21"/>
      <c r="H21" s="20"/>
      <c r="I21" s="33"/>
      <c r="J21" s="300"/>
      <c r="K21" s="302"/>
      <c r="L21" s="302"/>
      <c r="M21" s="302"/>
      <c r="N21" s="242">
        <f t="shared" si="4"/>
        <v>0</v>
      </c>
      <c r="O21" s="12"/>
      <c r="P21" s="12"/>
      <c r="Q21" s="515">
        <f t="shared" si="5"/>
        <v>0</v>
      </c>
      <c r="R21" s="245" t="str">
        <f t="shared" ref="R21:R30" si="6">IFERROR(Q21/(SUM($Q$20:$Q$30)),"")</f>
        <v/>
      </c>
      <c r="S21" s="42"/>
      <c r="T21" s="42"/>
      <c r="U21" s="107"/>
      <c r="V21" s="12"/>
      <c r="W21" s="23"/>
      <c r="X21" s="21"/>
      <c r="Y21" s="23"/>
      <c r="Z21" s="42"/>
      <c r="AB21" s="12"/>
    </row>
    <row r="22" spans="2:29" s="14" customFormat="1">
      <c r="B22" s="186" t="s">
        <v>1008</v>
      </c>
      <c r="C22" s="184" t="s">
        <v>1107</v>
      </c>
      <c r="D22" s="179" t="s">
        <v>459</v>
      </c>
      <c r="E22" s="35"/>
      <c r="F22" s="21"/>
      <c r="G22" s="21"/>
      <c r="H22" s="20"/>
      <c r="I22" s="20"/>
      <c r="J22" s="302"/>
      <c r="K22" s="302"/>
      <c r="L22" s="302"/>
      <c r="M22" s="302"/>
      <c r="N22" s="242">
        <f t="shared" si="4"/>
        <v>0</v>
      </c>
      <c r="O22" s="12"/>
      <c r="P22" s="12"/>
      <c r="Q22" s="515">
        <f t="shared" si="5"/>
        <v>0</v>
      </c>
      <c r="R22" s="245" t="str">
        <f t="shared" si="6"/>
        <v/>
      </c>
      <c r="S22" s="42"/>
      <c r="T22" s="42"/>
      <c r="U22" s="107"/>
      <c r="V22" s="12"/>
      <c r="W22" s="23"/>
      <c r="X22" s="21"/>
      <c r="Y22" s="23"/>
      <c r="Z22" s="42"/>
      <c r="AB22" s="12"/>
    </row>
    <row r="23" spans="2:29" s="14" customFormat="1">
      <c r="B23" s="186" t="s">
        <v>1008</v>
      </c>
      <c r="C23" s="184" t="s">
        <v>1011</v>
      </c>
      <c r="D23" s="179" t="s">
        <v>459</v>
      </c>
      <c r="E23" s="35"/>
      <c r="F23" s="21"/>
      <c r="G23" s="21"/>
      <c r="H23" s="20"/>
      <c r="I23" s="20"/>
      <c r="J23" s="302"/>
      <c r="K23" s="302"/>
      <c r="L23" s="302"/>
      <c r="M23" s="302"/>
      <c r="N23" s="242">
        <f t="shared" si="4"/>
        <v>0</v>
      </c>
      <c r="O23" s="12"/>
      <c r="P23" s="12"/>
      <c r="Q23" s="515">
        <f t="shared" si="5"/>
        <v>0</v>
      </c>
      <c r="R23" s="245" t="str">
        <f t="shared" si="6"/>
        <v/>
      </c>
      <c r="S23" s="42"/>
      <c r="T23" s="42"/>
      <c r="U23" s="107"/>
      <c r="V23" s="12"/>
      <c r="W23" s="23"/>
      <c r="X23" s="21"/>
      <c r="Y23" s="23"/>
      <c r="Z23" s="42"/>
      <c r="AB23" s="12"/>
    </row>
    <row r="24" spans="2:29" s="14" customFormat="1">
      <c r="B24" s="186" t="s">
        <v>1008</v>
      </c>
      <c r="C24" s="184" t="s">
        <v>1012</v>
      </c>
      <c r="D24" s="179" t="s">
        <v>459</v>
      </c>
      <c r="E24" s="35"/>
      <c r="F24" s="21"/>
      <c r="G24" s="21"/>
      <c r="H24" s="20"/>
      <c r="I24" s="20"/>
      <c r="J24" s="302"/>
      <c r="K24" s="302"/>
      <c r="L24" s="302"/>
      <c r="M24" s="302"/>
      <c r="N24" s="242">
        <f t="shared" si="4"/>
        <v>0</v>
      </c>
      <c r="O24" s="12"/>
      <c r="P24" s="12"/>
      <c r="Q24" s="515">
        <f t="shared" si="5"/>
        <v>0</v>
      </c>
      <c r="R24" s="245" t="str">
        <f t="shared" si="6"/>
        <v/>
      </c>
      <c r="S24" s="42"/>
      <c r="T24" s="42"/>
      <c r="U24" s="107"/>
      <c r="V24" s="12"/>
      <c r="W24" s="23"/>
      <c r="X24" s="21"/>
      <c r="Y24" s="23"/>
      <c r="Z24" s="42"/>
      <c r="AB24" s="12"/>
    </row>
    <row r="25" spans="2:29" s="14" customFormat="1">
      <c r="B25" s="186" t="s">
        <v>1008</v>
      </c>
      <c r="C25" s="184" t="s">
        <v>1168</v>
      </c>
      <c r="D25" s="179" t="s">
        <v>459</v>
      </c>
      <c r="E25" s="35"/>
      <c r="F25" s="21"/>
      <c r="G25" s="21"/>
      <c r="H25" s="20"/>
      <c r="I25" s="20"/>
      <c r="J25" s="302"/>
      <c r="K25" s="302"/>
      <c r="L25" s="302"/>
      <c r="M25" s="302"/>
      <c r="N25" s="242">
        <f t="shared" si="4"/>
        <v>0</v>
      </c>
      <c r="O25" s="12"/>
      <c r="P25" s="12"/>
      <c r="Q25" s="515">
        <f t="shared" si="5"/>
        <v>0</v>
      </c>
      <c r="R25" s="245" t="str">
        <f t="shared" si="6"/>
        <v/>
      </c>
      <c r="S25" s="42"/>
      <c r="T25" s="42"/>
      <c r="U25" s="107"/>
      <c r="V25" s="12"/>
      <c r="W25" s="23"/>
      <c r="X25" s="21"/>
      <c r="Y25" s="23"/>
      <c r="Z25" s="42"/>
      <c r="AB25" s="12"/>
    </row>
    <row r="26" spans="2:29" s="14" customFormat="1">
      <c r="B26" s="186" t="s">
        <v>1008</v>
      </c>
      <c r="C26" s="184" t="s">
        <v>1169</v>
      </c>
      <c r="D26" s="179" t="s">
        <v>459</v>
      </c>
      <c r="E26" s="35"/>
      <c r="F26" s="21"/>
      <c r="G26" s="21"/>
      <c r="H26" s="20"/>
      <c r="I26" s="20"/>
      <c r="J26" s="302"/>
      <c r="K26" s="302"/>
      <c r="L26" s="302"/>
      <c r="M26" s="302"/>
      <c r="N26" s="242">
        <f t="shared" si="4"/>
        <v>0</v>
      </c>
      <c r="O26" s="12"/>
      <c r="P26" s="12"/>
      <c r="Q26" s="515">
        <f t="shared" si="5"/>
        <v>0</v>
      </c>
      <c r="R26" s="245" t="str">
        <f t="shared" si="6"/>
        <v/>
      </c>
      <c r="S26" s="42"/>
      <c r="T26" s="42"/>
      <c r="U26" s="107"/>
      <c r="V26" s="12"/>
      <c r="W26" s="23"/>
      <c r="X26" s="21"/>
      <c r="Y26" s="23"/>
      <c r="Z26" s="42"/>
      <c r="AB26" s="12"/>
    </row>
    <row r="27" spans="2:29" s="14" customFormat="1">
      <c r="B27" s="186" t="s">
        <v>1008</v>
      </c>
      <c r="C27" s="184" t="s">
        <v>1170</v>
      </c>
      <c r="D27" s="179" t="s">
        <v>459</v>
      </c>
      <c r="E27" s="35"/>
      <c r="F27" s="21"/>
      <c r="G27" s="21"/>
      <c r="H27" s="20"/>
      <c r="I27" s="20"/>
      <c r="J27" s="302"/>
      <c r="K27" s="302"/>
      <c r="L27" s="302"/>
      <c r="M27" s="302"/>
      <c r="N27" s="242">
        <f t="shared" si="4"/>
        <v>0</v>
      </c>
      <c r="O27" s="12"/>
      <c r="P27" s="12"/>
      <c r="Q27" s="515">
        <f t="shared" si="5"/>
        <v>0</v>
      </c>
      <c r="R27" s="245" t="str">
        <f t="shared" si="6"/>
        <v/>
      </c>
      <c r="S27" s="42"/>
      <c r="T27" s="42"/>
      <c r="U27" s="107"/>
      <c r="V27" s="12"/>
      <c r="W27" s="23"/>
      <c r="X27" s="21"/>
      <c r="Y27" s="23"/>
      <c r="Z27" s="42"/>
      <c r="AB27" s="12"/>
    </row>
    <row r="28" spans="2:29" s="14" customFormat="1">
      <c r="B28" s="186" t="s">
        <v>1008</v>
      </c>
      <c r="C28" s="184" t="s">
        <v>1171</v>
      </c>
      <c r="D28" s="179" t="s">
        <v>459</v>
      </c>
      <c r="E28" s="35"/>
      <c r="F28" s="21"/>
      <c r="G28" s="21"/>
      <c r="H28" s="20"/>
      <c r="I28" s="20"/>
      <c r="J28" s="302"/>
      <c r="K28" s="302"/>
      <c r="L28" s="302"/>
      <c r="M28" s="302"/>
      <c r="N28" s="242">
        <f t="shared" si="4"/>
        <v>0</v>
      </c>
      <c r="O28" s="12"/>
      <c r="P28" s="12"/>
      <c r="Q28" s="515">
        <f t="shared" si="5"/>
        <v>0</v>
      </c>
      <c r="R28" s="245" t="str">
        <f t="shared" si="6"/>
        <v/>
      </c>
      <c r="S28" s="42"/>
      <c r="T28" s="42"/>
      <c r="U28" s="107"/>
      <c r="V28" s="12"/>
      <c r="W28" s="23"/>
      <c r="X28" s="21"/>
      <c r="Y28" s="23"/>
      <c r="Z28" s="42"/>
      <c r="AB28" s="12"/>
    </row>
    <row r="29" spans="2:29" s="14" customFormat="1">
      <c r="B29" s="186" t="s">
        <v>1008</v>
      </c>
      <c r="C29" s="184" t="s">
        <v>1172</v>
      </c>
      <c r="D29" s="179" t="s">
        <v>459</v>
      </c>
      <c r="E29" s="35"/>
      <c r="F29" s="21"/>
      <c r="G29" s="21"/>
      <c r="H29" s="20"/>
      <c r="I29" s="20"/>
      <c r="J29" s="302"/>
      <c r="K29" s="302"/>
      <c r="L29" s="302"/>
      <c r="M29" s="302"/>
      <c r="N29" s="242">
        <f t="shared" si="4"/>
        <v>0</v>
      </c>
      <c r="O29" s="12"/>
      <c r="P29" s="12"/>
      <c r="Q29" s="515">
        <f t="shared" si="5"/>
        <v>0</v>
      </c>
      <c r="R29" s="245" t="str">
        <f t="shared" si="6"/>
        <v/>
      </c>
      <c r="S29" s="42"/>
      <c r="T29" s="42"/>
      <c r="U29" s="107"/>
      <c r="V29" s="12"/>
      <c r="W29" s="23"/>
      <c r="X29" s="21"/>
      <c r="Y29" s="23"/>
      <c r="Z29" s="42"/>
      <c r="AB29" s="12"/>
    </row>
    <row r="30" spans="2:29" s="14" customFormat="1">
      <c r="B30" s="186" t="s">
        <v>1008</v>
      </c>
      <c r="C30" s="184" t="s">
        <v>1173</v>
      </c>
      <c r="D30" s="179" t="s">
        <v>459</v>
      </c>
      <c r="E30" s="35"/>
      <c r="F30" s="21"/>
      <c r="G30" s="21"/>
      <c r="H30" s="20"/>
      <c r="I30" s="20"/>
      <c r="J30" s="302"/>
      <c r="K30" s="302"/>
      <c r="L30" s="302"/>
      <c r="M30" s="302"/>
      <c r="N30" s="242">
        <f t="shared" si="4"/>
        <v>0</v>
      </c>
      <c r="O30" s="12"/>
      <c r="P30" s="12"/>
      <c r="Q30" s="515">
        <f t="shared" si="5"/>
        <v>0</v>
      </c>
      <c r="R30" s="245" t="str">
        <f t="shared" si="6"/>
        <v/>
      </c>
      <c r="S30" s="42"/>
      <c r="T30" s="42"/>
      <c r="U30" s="107"/>
      <c r="V30" s="12"/>
      <c r="W30" s="23"/>
      <c r="X30" s="21"/>
      <c r="Y30" s="23"/>
      <c r="Z30" s="42"/>
      <c r="AB30" s="12"/>
    </row>
    <row r="31" spans="2:29" s="14" customFormat="1">
      <c r="B31" s="186" t="s">
        <v>1013</v>
      </c>
      <c r="C31" s="184" t="s">
        <v>1108</v>
      </c>
      <c r="D31" s="179" t="s">
        <v>459</v>
      </c>
      <c r="E31" s="35"/>
      <c r="F31" s="21"/>
      <c r="G31" s="21"/>
      <c r="H31" s="20"/>
      <c r="I31" s="20"/>
      <c r="J31" s="302"/>
      <c r="K31" s="302"/>
      <c r="L31" s="302"/>
      <c r="M31" s="302"/>
      <c r="N31" s="242">
        <f t="shared" si="4"/>
        <v>0</v>
      </c>
      <c r="O31" s="12"/>
      <c r="P31" s="12"/>
      <c r="Q31" s="12"/>
      <c r="R31" s="12"/>
      <c r="S31" s="107"/>
      <c r="T31" s="107"/>
      <c r="U31" s="107"/>
      <c r="V31" s="12"/>
      <c r="W31" s="23"/>
      <c r="X31" s="21"/>
      <c r="Y31" s="23"/>
      <c r="Z31" s="42"/>
      <c r="AB31" s="12"/>
    </row>
    <row r="32" spans="2:29" s="14" customFormat="1">
      <c r="B32" s="186" t="s">
        <v>1013</v>
      </c>
      <c r="C32" s="184" t="s">
        <v>1015</v>
      </c>
      <c r="D32" s="179" t="s">
        <v>459</v>
      </c>
      <c r="E32" s="35"/>
      <c r="F32" s="21"/>
      <c r="G32" s="21"/>
      <c r="H32" s="20"/>
      <c r="I32" s="20"/>
      <c r="J32" s="302"/>
      <c r="K32" s="302"/>
      <c r="L32" s="302"/>
      <c r="M32" s="302"/>
      <c r="N32" s="242">
        <f t="shared" si="4"/>
        <v>0</v>
      </c>
      <c r="O32" s="12"/>
      <c r="P32" s="12"/>
      <c r="Q32" s="12"/>
      <c r="R32" s="12"/>
      <c r="S32" s="107"/>
      <c r="T32" s="107"/>
      <c r="U32" s="107"/>
      <c r="V32" s="12"/>
      <c r="W32" s="23"/>
      <c r="X32" s="21"/>
      <c r="Y32" s="23"/>
      <c r="Z32" s="42"/>
      <c r="AB32" s="12"/>
    </row>
    <row r="33" spans="2:25" s="14" customFormat="1">
      <c r="B33" s="186" t="s">
        <v>1016</v>
      </c>
      <c r="C33" s="184" t="s">
        <v>1017</v>
      </c>
      <c r="D33" s="179" t="s">
        <v>459</v>
      </c>
      <c r="E33" s="35"/>
      <c r="F33" s="21"/>
      <c r="G33" s="21"/>
      <c r="H33" s="20"/>
      <c r="I33" s="36"/>
      <c r="J33" s="300"/>
      <c r="K33" s="302"/>
      <c r="L33" s="302"/>
      <c r="M33" s="302"/>
      <c r="N33" s="242">
        <f t="shared" si="4"/>
        <v>0</v>
      </c>
      <c r="O33" s="12"/>
      <c r="P33" s="12"/>
      <c r="Q33" s="12"/>
      <c r="R33" s="12"/>
      <c r="S33" s="107"/>
      <c r="T33" s="107"/>
      <c r="U33" s="107"/>
      <c r="V33" s="12"/>
      <c r="X33" s="21"/>
    </row>
    <row r="34" spans="2:25" s="14" customFormat="1">
      <c r="B34" s="186" t="s">
        <v>1016</v>
      </c>
      <c r="C34" s="184" t="s">
        <v>1018</v>
      </c>
      <c r="D34" s="179" t="s">
        <v>459</v>
      </c>
      <c r="E34" s="35"/>
      <c r="F34" s="21"/>
      <c r="G34" s="21"/>
      <c r="H34" s="20"/>
      <c r="I34" s="36"/>
      <c r="J34" s="300"/>
      <c r="K34" s="302"/>
      <c r="L34" s="302"/>
      <c r="M34" s="302"/>
      <c r="N34" s="242">
        <f t="shared" si="4"/>
        <v>0</v>
      </c>
      <c r="O34" s="12"/>
      <c r="P34" s="12"/>
      <c r="Q34" s="12"/>
      <c r="R34" s="12"/>
      <c r="S34" s="107"/>
      <c r="T34" s="107"/>
      <c r="U34" s="107"/>
      <c r="V34" s="12"/>
      <c r="X34" s="21"/>
    </row>
    <row r="35" spans="2:25" s="14" customFormat="1">
      <c r="B35" s="186" t="s">
        <v>1057</v>
      </c>
      <c r="C35" s="184" t="s">
        <v>1109</v>
      </c>
      <c r="D35" s="179" t="s">
        <v>459</v>
      </c>
      <c r="E35" s="35"/>
      <c r="F35" s="34"/>
      <c r="G35" s="21"/>
      <c r="H35" s="20"/>
      <c r="I35" s="36"/>
      <c r="J35" s="300"/>
      <c r="K35" s="302"/>
      <c r="L35" s="302"/>
      <c r="M35" s="302"/>
      <c r="N35" s="242">
        <f t="shared" si="4"/>
        <v>0</v>
      </c>
      <c r="O35" s="12"/>
      <c r="P35" s="12"/>
      <c r="Q35" s="12"/>
      <c r="R35" s="12"/>
      <c r="S35" s="300">
        <v>1000</v>
      </c>
      <c r="T35" s="477"/>
      <c r="U35" s="35" t="s">
        <v>1110</v>
      </c>
      <c r="V35" s="242" t="str">
        <f t="shared" ref="V35:V40" si="7">IFERROR(IF(D35="tonnes/yr", $S35*$E35/($N$20*3.6), $T35*$E35*3.6/($N$20*3.6)), "Unfilled fields to left")</f>
        <v>Unfilled fields to left</v>
      </c>
      <c r="X35" s="21"/>
    </row>
    <row r="36" spans="2:25" s="14" customFormat="1">
      <c r="B36" s="186" t="s">
        <v>1070</v>
      </c>
      <c r="C36" s="184" t="s">
        <v>1111</v>
      </c>
      <c r="D36" s="179" t="s">
        <v>459</v>
      </c>
      <c r="E36" s="35">
        <f>E35*E45</f>
        <v>0</v>
      </c>
      <c r="F36" s="34"/>
      <c r="G36" s="21"/>
      <c r="H36" s="20"/>
      <c r="I36" s="36"/>
      <c r="J36" s="300"/>
      <c r="K36" s="302"/>
      <c r="L36" s="302"/>
      <c r="M36" s="302"/>
      <c r="N36" s="242">
        <f t="shared" si="4"/>
        <v>0</v>
      </c>
      <c r="O36" s="12"/>
      <c r="P36" s="12"/>
      <c r="Q36" s="12"/>
      <c r="R36" s="12"/>
      <c r="S36" s="300">
        <v>-1000</v>
      </c>
      <c r="T36" s="477"/>
      <c r="U36" s="35" t="s">
        <v>1112</v>
      </c>
      <c r="V36" s="242" t="str">
        <f t="shared" si="7"/>
        <v>Unfilled fields to left</v>
      </c>
      <c r="X36" s="21"/>
    </row>
    <row r="37" spans="2:25" s="14" customFormat="1">
      <c r="B37" s="186" t="s">
        <v>1113</v>
      </c>
      <c r="C37" s="184" t="s">
        <v>1073</v>
      </c>
      <c r="D37" s="179" t="s">
        <v>459</v>
      </c>
      <c r="E37" s="35"/>
      <c r="F37" s="34"/>
      <c r="G37" s="21"/>
      <c r="H37" s="20"/>
      <c r="I37" s="36"/>
      <c r="J37" s="300"/>
      <c r="K37" s="302"/>
      <c r="L37" s="302"/>
      <c r="M37" s="302"/>
      <c r="N37" s="242">
        <f t="shared" si="4"/>
        <v>0</v>
      </c>
      <c r="O37" s="12"/>
      <c r="P37" s="12"/>
      <c r="Q37" s="12"/>
      <c r="R37" s="12"/>
      <c r="S37" s="300">
        <f>28*1000</f>
        <v>28000</v>
      </c>
      <c r="T37" s="477"/>
      <c r="U37" s="35" t="s">
        <v>1059</v>
      </c>
      <c r="V37" s="242" t="str">
        <f t="shared" si="7"/>
        <v>Unfilled fields to left</v>
      </c>
      <c r="X37" s="21"/>
    </row>
    <row r="38" spans="2:25" s="14" customFormat="1">
      <c r="B38" s="186" t="s">
        <v>1113</v>
      </c>
      <c r="C38" s="184" t="s">
        <v>1075</v>
      </c>
      <c r="D38" s="179" t="s">
        <v>459</v>
      </c>
      <c r="E38" s="35"/>
      <c r="F38" s="21"/>
      <c r="G38" s="21"/>
      <c r="H38" s="20"/>
      <c r="I38" s="36"/>
      <c r="J38" s="300"/>
      <c r="K38" s="302"/>
      <c r="L38" s="302"/>
      <c r="M38" s="302"/>
      <c r="N38" s="242">
        <f t="shared" si="4"/>
        <v>0</v>
      </c>
      <c r="O38" s="12"/>
      <c r="P38" s="12"/>
      <c r="Q38" s="12"/>
      <c r="R38" s="12"/>
      <c r="S38" s="35">
        <v>265000</v>
      </c>
      <c r="T38" s="518"/>
      <c r="U38" s="35" t="s">
        <v>1059</v>
      </c>
      <c r="V38" s="242" t="str">
        <f t="shared" si="7"/>
        <v>Unfilled fields to left</v>
      </c>
      <c r="X38" s="21"/>
    </row>
    <row r="39" spans="2:25" s="14" customFormat="1">
      <c r="B39" s="16"/>
      <c r="C39" s="15"/>
      <c r="D39" s="179"/>
      <c r="E39" s="35"/>
      <c r="F39" s="21"/>
      <c r="G39" s="21"/>
      <c r="H39" s="20"/>
      <c r="I39" s="36"/>
      <c r="J39" s="300"/>
      <c r="K39" s="302"/>
      <c r="L39" s="302"/>
      <c r="M39" s="302"/>
      <c r="N39" s="242">
        <f t="shared" si="4"/>
        <v>0</v>
      </c>
      <c r="O39" s="12"/>
      <c r="P39" s="12"/>
      <c r="Q39" s="12"/>
      <c r="R39" s="12"/>
      <c r="S39" s="300"/>
      <c r="T39" s="477"/>
      <c r="U39" s="302"/>
      <c r="V39" s="242" t="str">
        <f t="shared" si="7"/>
        <v>Unfilled fields to left</v>
      </c>
      <c r="X39" s="21"/>
    </row>
    <row r="40" spans="2:25" s="14" customFormat="1">
      <c r="B40" s="16"/>
      <c r="C40" s="15"/>
      <c r="D40" s="179"/>
      <c r="E40" s="35"/>
      <c r="F40" s="21"/>
      <c r="G40" s="21"/>
      <c r="H40" s="20"/>
      <c r="I40" s="36"/>
      <c r="J40" s="300"/>
      <c r="K40" s="302"/>
      <c r="L40" s="302"/>
      <c r="M40" s="302"/>
      <c r="N40" s="242">
        <f t="shared" si="4"/>
        <v>0</v>
      </c>
      <c r="O40" s="12"/>
      <c r="P40" s="12"/>
      <c r="Q40" s="12"/>
      <c r="R40" s="12"/>
      <c r="S40" s="300"/>
      <c r="T40" s="477"/>
      <c r="U40" s="302"/>
      <c r="V40" s="242" t="str">
        <f t="shared" si="7"/>
        <v>Unfilled fields to left</v>
      </c>
      <c r="X40" s="21"/>
    </row>
    <row r="41" spans="2:25">
      <c r="C41" s="17"/>
      <c r="D41" s="17"/>
      <c r="E41" s="140"/>
      <c r="F41" s="17"/>
      <c r="H41" s="18"/>
      <c r="I41" s="18"/>
      <c r="J41" s="40"/>
      <c r="K41" s="40"/>
      <c r="L41" s="40"/>
      <c r="M41" s="40"/>
      <c r="N41" s="40"/>
      <c r="O41" s="12"/>
      <c r="S41" s="40"/>
      <c r="T41" s="40"/>
      <c r="U41" s="40"/>
      <c r="V41" s="40"/>
      <c r="Y41" s="12"/>
    </row>
    <row r="42" spans="2:25">
      <c r="D42" s="17"/>
      <c r="E42" s="140"/>
      <c r="J42" s="39"/>
      <c r="K42" s="39"/>
      <c r="L42" s="39"/>
      <c r="M42" s="39"/>
      <c r="O42" s="12"/>
      <c r="S42" s="39"/>
      <c r="T42" s="39"/>
      <c r="U42" s="38" t="s">
        <v>1114</v>
      </c>
      <c r="V42" s="153">
        <f>SUM(V7:V41)</f>
        <v>0</v>
      </c>
      <c r="Y42" s="12"/>
    </row>
    <row r="43" spans="2:25">
      <c r="B43" s="145" t="s">
        <v>132</v>
      </c>
      <c r="C43" s="159"/>
      <c r="D43" s="159"/>
      <c r="E43" s="499"/>
      <c r="I43" s="12"/>
      <c r="J43" s="107"/>
      <c r="K43" s="107"/>
      <c r="L43" s="107"/>
      <c r="M43" s="107"/>
      <c r="N43" s="107"/>
      <c r="O43" s="12"/>
      <c r="S43" s="107"/>
      <c r="T43" s="107"/>
      <c r="U43" s="107"/>
      <c r="Y43" s="12"/>
    </row>
    <row r="44" spans="2:25">
      <c r="B44" s="16" t="s">
        <v>1086</v>
      </c>
      <c r="C44" s="15" t="s">
        <v>1087</v>
      </c>
      <c r="D44" s="15" t="s">
        <v>1088</v>
      </c>
      <c r="E44" s="501"/>
      <c r="G44" s="19"/>
      <c r="H44" s="12"/>
      <c r="I44" s="12"/>
      <c r="J44" s="107"/>
      <c r="K44" s="107"/>
      <c r="L44" s="107"/>
      <c r="M44" s="107"/>
      <c r="N44" s="107"/>
      <c r="O44" s="12"/>
      <c r="S44" s="107"/>
      <c r="T44" s="107"/>
      <c r="U44" s="107"/>
      <c r="V44" s="12"/>
      <c r="X44" s="25"/>
      <c r="Y44" s="12"/>
    </row>
    <row r="45" spans="2:25">
      <c r="B45" s="16" t="s">
        <v>1091</v>
      </c>
      <c r="C45" s="15" t="s">
        <v>1092</v>
      </c>
      <c r="D45" s="15" t="s">
        <v>785</v>
      </c>
      <c r="E45" s="512"/>
      <c r="H45" s="12"/>
      <c r="I45" s="12"/>
      <c r="J45" s="107"/>
      <c r="K45" s="107"/>
      <c r="L45" s="107"/>
      <c r="M45" s="107"/>
      <c r="N45" s="107"/>
      <c r="O45" s="12"/>
      <c r="S45" s="107"/>
      <c r="T45" s="107"/>
      <c r="U45" s="107"/>
      <c r="V45" s="12"/>
      <c r="X45" s="25"/>
      <c r="Y45" s="12"/>
    </row>
    <row r="46" spans="2:25">
      <c r="B46" s="16"/>
      <c r="C46" s="15"/>
      <c r="D46" s="15"/>
      <c r="E46" s="512"/>
      <c r="J46" s="39"/>
      <c r="K46" s="39"/>
      <c r="L46" s="39"/>
      <c r="M46" s="39"/>
      <c r="S46" s="39"/>
      <c r="T46" s="39"/>
      <c r="U46" s="39"/>
      <c r="X46" s="25"/>
    </row>
    <row r="47" spans="2:25">
      <c r="B47" s="16"/>
      <c r="C47" s="15"/>
      <c r="D47" s="15"/>
      <c r="E47" s="507"/>
      <c r="J47" s="39"/>
      <c r="K47" s="39"/>
      <c r="L47" s="39"/>
      <c r="M47" s="39"/>
      <c r="S47" s="39"/>
      <c r="T47" s="39"/>
      <c r="U47" s="39"/>
      <c r="X47" s="25"/>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L122" s="39"/>
      <c r="M122" s="39"/>
      <c r="S122" s="39"/>
      <c r="T122" s="39"/>
      <c r="U122" s="39"/>
    </row>
    <row r="123" spans="5:21">
      <c r="E123" s="107"/>
      <c r="J123" s="39"/>
      <c r="K123" s="39"/>
      <c r="L123" s="39"/>
      <c r="M123" s="39"/>
      <c r="S123" s="39"/>
      <c r="T123" s="39"/>
      <c r="U123" s="39"/>
    </row>
    <row r="124" spans="5:21">
      <c r="E124" s="107"/>
      <c r="J124" s="39"/>
      <c r="K124" s="39"/>
      <c r="L124" s="39"/>
      <c r="M124" s="39"/>
      <c r="S124" s="39"/>
      <c r="T124" s="39"/>
      <c r="U124" s="39"/>
    </row>
    <row r="125" spans="5:21">
      <c r="E125" s="107"/>
      <c r="J125" s="39"/>
      <c r="K125" s="39"/>
      <c r="L125" s="39"/>
      <c r="M125" s="39"/>
      <c r="S125" s="39"/>
      <c r="T125" s="39"/>
      <c r="U125" s="39"/>
    </row>
    <row r="126" spans="5:21">
      <c r="E126" s="107"/>
      <c r="J126" s="39"/>
      <c r="K126" s="39"/>
      <c r="L126" s="39"/>
      <c r="M126" s="39"/>
      <c r="S126" s="39"/>
      <c r="T126" s="39"/>
      <c r="U126" s="39"/>
    </row>
    <row r="127" spans="5:21">
      <c r="E127" s="107"/>
      <c r="J127" s="39"/>
      <c r="K127" s="39"/>
      <c r="L127" s="39"/>
      <c r="M127" s="39"/>
      <c r="S127" s="39"/>
      <c r="T127" s="39"/>
      <c r="U127" s="39"/>
    </row>
    <row r="128" spans="5:21">
      <c r="E128" s="107"/>
      <c r="J128" s="39"/>
      <c r="K128" s="39"/>
      <c r="L128" s="39"/>
      <c r="M128" s="39"/>
      <c r="S128" s="39"/>
      <c r="T128" s="39"/>
      <c r="U128" s="39"/>
    </row>
    <row r="129" spans="5:21">
      <c r="E129" s="107"/>
      <c r="J129" s="39"/>
      <c r="K129" s="39"/>
      <c r="L129" s="39"/>
      <c r="M129" s="39"/>
      <c r="S129" s="39"/>
      <c r="T129" s="39"/>
      <c r="U129" s="39"/>
    </row>
    <row r="130" spans="5:21">
      <c r="E130" s="107"/>
      <c r="J130" s="39"/>
      <c r="K130" s="39"/>
      <c r="L130" s="39"/>
      <c r="M130" s="39"/>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E148" s="107"/>
      <c r="S148" s="39"/>
      <c r="T148" s="39"/>
      <c r="U148" s="39"/>
    </row>
    <row r="149" spans="5:21">
      <c r="E149" s="107"/>
      <c r="S149" s="39"/>
      <c r="T149" s="39"/>
      <c r="U149" s="39"/>
    </row>
    <row r="150" spans="5:21">
      <c r="E150" s="107"/>
      <c r="S150" s="39"/>
      <c r="T150" s="39"/>
      <c r="U150" s="39"/>
    </row>
    <row r="151" spans="5:21">
      <c r="E151" s="107"/>
      <c r="S151" s="39"/>
      <c r="T151" s="39"/>
      <c r="U151" s="39"/>
    </row>
    <row r="152" spans="5:21">
      <c r="E152" s="107"/>
      <c r="S152" s="39"/>
      <c r="T152" s="39"/>
      <c r="U152" s="39"/>
    </row>
    <row r="153" spans="5:21">
      <c r="E153" s="107"/>
      <c r="S153" s="39"/>
      <c r="T153" s="39"/>
      <c r="U153" s="39"/>
    </row>
    <row r="154" spans="5:21">
      <c r="E154" s="107"/>
      <c r="S154" s="39"/>
      <c r="T154" s="39"/>
      <c r="U154" s="39"/>
    </row>
    <row r="155" spans="5:21">
      <c r="E155" s="107"/>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row r="190" spans="19:21">
      <c r="S190" s="39"/>
      <c r="T190" s="39"/>
      <c r="U190" s="39"/>
    </row>
    <row r="191" spans="19:21">
      <c r="S191" s="39"/>
      <c r="T191" s="39"/>
      <c r="U191" s="39"/>
    </row>
    <row r="192" spans="19:21">
      <c r="S192" s="39"/>
      <c r="T192" s="39"/>
      <c r="U192" s="39"/>
    </row>
    <row r="193" spans="19:21">
      <c r="S193" s="39"/>
      <c r="T193" s="39"/>
      <c r="U193" s="39"/>
    </row>
    <row r="194" spans="19:21">
      <c r="S194" s="39"/>
      <c r="T194" s="39"/>
      <c r="U194" s="39"/>
    </row>
    <row r="195" spans="19:21">
      <c r="S195" s="39"/>
      <c r="T195" s="39"/>
      <c r="U195" s="39"/>
    </row>
    <row r="196" spans="19:21">
      <c r="S196" s="39"/>
      <c r="T196" s="39"/>
      <c r="U196" s="39"/>
    </row>
    <row r="197" spans="19:21">
      <c r="S197" s="39"/>
      <c r="T197" s="39"/>
      <c r="U197" s="39"/>
    </row>
  </sheetData>
  <customSheetViews>
    <customSheetView guid="{2D920366-22B2-4182-A65D-0EDBE614FB37}" showGridLines="0">
      <pane xSplit="3" ySplit="5" topLeftCell="D6" activePane="bottomRight" state="frozen"/>
      <selection pane="bottomRight"/>
      <pageMargins left="0" right="0" top="0" bottom="0" header="0" footer="0"/>
    </customSheetView>
    <customSheetView guid="{F468A2FD-7987-4A9D-8BAE-1AACE523607F}" state="hidden" topLeftCell="A5">
      <selection activeCell="C2" sqref="C2:E2"/>
      <pageMargins left="0" right="0" top="0" bottom="0" header="0" footer="0"/>
    </customSheetView>
    <customSheetView guid="{D97B1299-69D0-4EE0-B673-CCF74742F96B}" topLeftCell="A5">
      <pageMargins left="0" right="0" top="0" bottom="0" header="0" footer="0"/>
    </customSheetView>
    <customSheetView guid="{3F0A4FBA-5323-448F-A023-B3E14C54064C}" state="hidden" topLeftCell="A5">
      <pageMargins left="0" right="0" top="0" bottom="0" header="0" footer="0"/>
    </customSheetView>
    <customSheetView guid="{E6EFD927-84B2-4D06-BB59-59D9DF522DA2}" showGridLines="0" state="hidden">
      <pane xSplit="3" ySplit="5" topLeftCell="D6" activePane="bottomRight" state="frozen"/>
      <selection pane="bottomRight"/>
      <pageMargins left="0" right="0" top="0" bottom="0" header="0" footer="0"/>
    </customSheetView>
    <customSheetView guid="{0E935136-9A80-44B6-88D5-61E64D742049}" showGridLines="0" state="hidden">
      <pane xSplit="3" ySplit="5" topLeftCell="D6" activePane="bottomRight" state="frozen"/>
      <selection pane="bottomRight" activeCell="I2" sqref="I2:K2"/>
      <pageMargins left="0" right="0" top="0" bottom="0" header="0" footer="0"/>
    </customSheetView>
    <customSheetView guid="{1C16EB38-F785-4168-9938-104594734038}" showGridLines="0" state="hidden">
      <pane xSplit="3" ySplit="5" topLeftCell="D6" activePane="bottomRight" state="frozen"/>
      <selection pane="bottomRight" activeCell="C2" sqref="C2:E2"/>
      <pageMargins left="0" right="0" top="0" bottom="0" header="0" footer="0"/>
    </customSheetView>
    <customSheetView guid="{EECBF9DF-6D77-4263-85DA-71E40216BADD}" showGridLines="0" state="hidden">
      <pane xSplit="3" ySplit="5" topLeftCell="D6" activePane="bottomRight" state="frozen"/>
      <selection pane="bottomRight"/>
      <pageMargins left="0" right="0" top="0" bottom="0" header="0" footer="0"/>
    </customSheetView>
    <customSheetView guid="{F03309BC-D3FA-4CF2-833B-D6D9A95FE1FB}" showGridLines="0" state="hidden">
      <pane xSplit="3" ySplit="5" topLeftCell="D6" activePane="bottomRight" state="frozen"/>
      <selection pane="bottomRight"/>
      <pageMargins left="0" right="0" top="0" bottom="0" header="0" footer="0"/>
    </customSheetView>
  </customSheetViews>
  <mergeCells count="1">
    <mergeCell ref="I2:K2"/>
  </mergeCells>
  <phoneticPr fontId="90" type="noConversion"/>
  <dataValidations count="5">
    <dataValidation type="list" allowBlank="1" showInputMessage="1" showErrorMessage="1" sqref="D8:D17 D20:D40" xr:uid="{53500B7D-9C8C-44FD-A3B9-B459A8FEAE4F}">
      <formula1>Flow_units</formula1>
    </dataValidation>
    <dataValidation type="custom" allowBlank="1" showInputMessage="1" showErrorMessage="1" error="Please do not change this formula" prompt="Please do not change this formula" sqref="W4 N41:N1048576 V1:V4 P1:R4 Q31:R1048576 R6:R19 N1:N7 N18:N19 O4 O6:O19 S5:V5 P21:P1048576 V6:V1048576" xr:uid="{E1583090-1CBF-44E8-BBC0-9834C7C48D7F}">
      <formula1>"Please do not change this formula"</formula1>
    </dataValidation>
    <dataValidation type="custom" allowBlank="1" showInputMessage="1" showErrorMessage="1" error="Please do not change this formula" sqref="O5:R5" xr:uid="{7654ADBA-8B76-41E5-ADD3-4EF9CF04AA85}">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37:T41 S9:T35" xr:uid="{C5B6C95A-60B6-4BE5-B70D-D26523E6811A}">
      <formula1>0</formula1>
    </dataValidation>
    <dataValidation type="custom" allowBlank="1" showInputMessage="1" showErrorMessage="1" error="Please do not change" sqref="R20:R30" xr:uid="{F4F97971-42D9-4A33-BD96-15818A3328A1}">
      <formula1>"Please do not change"</formula1>
    </dataValidation>
  </dataValidations>
  <hyperlinks>
    <hyperlink ref="I2:J2" location="'NG Further Transport'!A1" display="Go to the next step of this pathway" xr:uid="{85DB6C78-2E83-439C-802B-C405B875156E}"/>
    <hyperlink ref="I2:K2" location="ROG_Processing!A1" display="Go to the next step of this pathway" xr:uid="{1F58E94C-8748-48C1-A784-99E91E31D557}"/>
  </hyperlinks>
  <pageMargins left="0" right="0" top="0" bottom="0" header="0" footer="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263" id="{00000000-000E-0000-1F00-000001000000}">
            <xm:f>AND(OR(Path&lt;&gt;Units!$B$130,AND(Path=Units!$B$130, Initial_questions!$E$27&lt;&gt;Units!$L$124)),Master_Switch="On")</xm:f>
            <x14:dxf>
              <font>
                <color theme="0"/>
              </font>
              <fill>
                <patternFill>
                  <bgColor theme="0"/>
                </patternFill>
              </fill>
              <border>
                <left/>
                <right/>
                <top/>
                <bottom/>
                <vertical/>
                <horizontal/>
              </border>
            </x14:dxf>
          </x14:cfRule>
          <xm:sqref>A2:XFD208</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3DD36-3B93-437F-969B-1D8FE41E821A}">
  <sheetPr codeName="Sheet56">
    <tabColor theme="3" tint="-0.249977111117893"/>
  </sheetPr>
  <dimension ref="A1:AC189"/>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55"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18.7265625" customWidth="1"/>
    <col min="16" max="16" width="8.54296875" style="12" customWidth="1"/>
    <col min="17" max="17" width="17.1796875" style="12" customWidth="1"/>
    <col min="18" max="18" width="17.54296875" style="12" customWidth="1"/>
    <col min="19" max="20" width="20.7265625" style="13" customWidth="1"/>
    <col min="21" max="21" width="22.7265625" style="13" customWidth="1"/>
    <col min="22" max="22" width="20.26953125" style="39" customWidth="1"/>
    <col min="23" max="23" width="7.1796875" style="12"/>
    <col min="24" max="24" width="26" style="12" customWidth="1"/>
    <col min="26" max="16384" width="7.1796875" style="12"/>
  </cols>
  <sheetData>
    <row r="1" spans="1:29" ht="31.9" customHeight="1">
      <c r="A1" s="80" t="str">
        <f>IF(AND(Path&lt;&gt;Units!$B$130, Master_Switch="On"),"User should not fill in this sheet, but switch to other non-blank GHG worksheets","")</f>
        <v>User should not fill in this sheet, but switch to other non-blank GHG worksheets</v>
      </c>
      <c r="E1" s="256"/>
    </row>
    <row r="2" spans="1:29" ht="20.5" customHeight="1">
      <c r="B2" s="80"/>
      <c r="E2" s="256"/>
      <c r="I2" s="729" t="s">
        <v>1093</v>
      </c>
      <c r="J2" s="731"/>
      <c r="K2" s="732"/>
      <c r="L2" s="39"/>
      <c r="M2" s="39"/>
    </row>
    <row r="3" spans="1:29" ht="15" customHeight="1">
      <c r="E3" s="256"/>
    </row>
    <row r="4" spans="1:29" ht="15.65" customHeight="1" thickBot="1">
      <c r="B4" s="3"/>
      <c r="C4" s="3"/>
      <c r="D4" s="3"/>
      <c r="E4" s="455"/>
      <c r="F4" s="3"/>
      <c r="G4" s="3"/>
      <c r="H4" s="1"/>
      <c r="I4" s="1"/>
      <c r="J4" s="1"/>
      <c r="K4" s="1"/>
      <c r="L4" s="1"/>
      <c r="M4" s="1"/>
      <c r="N4" s="37"/>
      <c r="O4" s="1"/>
      <c r="P4" s="3"/>
      <c r="Q4" s="3"/>
      <c r="R4" s="3"/>
      <c r="S4" s="1"/>
      <c r="T4" s="1"/>
      <c r="U4" s="1"/>
      <c r="V4" s="37"/>
      <c r="W4" s="37"/>
      <c r="X4" s="3"/>
    </row>
    <row r="5" spans="1:29"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9" ht="15" thickTop="1">
      <c r="E6" s="457"/>
      <c r="R6"/>
      <c r="S6"/>
      <c r="T6"/>
      <c r="U6"/>
      <c r="V6"/>
    </row>
    <row r="7" spans="1:29">
      <c r="B7" s="145" t="s">
        <v>1097</v>
      </c>
      <c r="C7" s="145"/>
      <c r="D7" s="145"/>
      <c r="E7" s="324"/>
      <c r="F7" s="145"/>
      <c r="G7" s="145"/>
      <c r="H7" s="145"/>
      <c r="I7" s="145"/>
      <c r="J7" s="145"/>
      <c r="K7" s="145"/>
      <c r="L7" s="145"/>
      <c r="M7" s="145"/>
      <c r="N7" s="301"/>
      <c r="R7"/>
      <c r="S7"/>
      <c r="T7"/>
      <c r="U7"/>
      <c r="V7"/>
      <c r="W7" s="19"/>
      <c r="X7" s="19"/>
      <c r="Y7" s="19"/>
      <c r="Z7" s="19"/>
      <c r="AA7" s="19"/>
      <c r="AB7" s="19"/>
      <c r="AC7" s="19"/>
    </row>
    <row r="8" spans="1:29">
      <c r="B8" s="16" t="s">
        <v>1115</v>
      </c>
      <c r="C8" s="184" t="s">
        <v>1167</v>
      </c>
      <c r="D8" s="179" t="s">
        <v>459</v>
      </c>
      <c r="E8" s="35"/>
      <c r="F8" s="21"/>
      <c r="G8" s="21"/>
      <c r="H8" s="20"/>
      <c r="I8" s="20"/>
      <c r="J8" s="300"/>
      <c r="K8" s="302"/>
      <c r="L8" s="302"/>
      <c r="M8" s="302"/>
      <c r="N8" s="242">
        <f t="shared" ref="N8:N17" si="0">IF($D8="MWh/yr (LHV)",$E8,$J8*$E8*(1-$L8)/Conversion_kWh_to_MJ)</f>
        <v>0</v>
      </c>
      <c r="O8" s="12"/>
      <c r="S8" s="107"/>
      <c r="T8" s="107"/>
      <c r="U8" s="107"/>
      <c r="V8" s="12"/>
      <c r="X8" s="24"/>
      <c r="Y8" s="12"/>
    </row>
    <row r="9" spans="1:29">
      <c r="B9" s="186" t="s">
        <v>1021</v>
      </c>
      <c r="C9" s="184" t="s">
        <v>1098</v>
      </c>
      <c r="D9" s="179" t="s">
        <v>479</v>
      </c>
      <c r="E9" s="35"/>
      <c r="F9" s="21"/>
      <c r="G9" s="21"/>
      <c r="H9" s="20"/>
      <c r="I9" s="36"/>
      <c r="J9" s="300"/>
      <c r="K9" s="302"/>
      <c r="L9" s="302"/>
      <c r="M9" s="302"/>
      <c r="N9" s="242">
        <f t="shared" si="0"/>
        <v>0</v>
      </c>
      <c r="O9" s="12"/>
      <c r="S9" s="35" t="str">
        <f t="shared" ref="S9:S17" si="1">IF(B9="", "", IF(D9="MWh/yr (LHV)", "Use column to right", "Enter data here"))</f>
        <v>Use column to right</v>
      </c>
      <c r="T9" s="300" t="e">
        <f>INDEX(Proj_grid_intensity_kWh,MATCH(Operations_year,Proj_grid_year,0))/Conversion_kWh_to_MJ</f>
        <v>#N/A</v>
      </c>
      <c r="U9" s="35" t="s">
        <v>1064</v>
      </c>
      <c r="V9" s="242" t="str">
        <f t="shared" ref="V9:V17" si="2">IFERROR(IF(D9="tonnes/yr", $S9*$E9/($N$20*3.6), $T9*$E9*3.6/($N$20*3.6)), "Unfilled fields to left")</f>
        <v>Unfilled fields to left</v>
      </c>
      <c r="X9" s="25"/>
      <c r="Y9" s="12"/>
    </row>
    <row r="10" spans="1:29">
      <c r="B10" s="186" t="s">
        <v>1021</v>
      </c>
      <c r="C10" s="184"/>
      <c r="D10" s="179"/>
      <c r="E10" s="35"/>
      <c r="F10" s="21"/>
      <c r="G10" s="21"/>
      <c r="H10" s="20"/>
      <c r="I10" s="36"/>
      <c r="J10" s="300"/>
      <c r="K10" s="302"/>
      <c r="L10" s="302"/>
      <c r="M10" s="302"/>
      <c r="N10" s="242">
        <f t="shared" si="0"/>
        <v>0</v>
      </c>
      <c r="O10" s="12"/>
      <c r="S10" s="35" t="str">
        <f t="shared" si="1"/>
        <v>Enter data here</v>
      </c>
      <c r="T10" s="35" t="str">
        <f t="shared" ref="T10:T17" si="3">IF(B10="", "", IF(D10="MWh/yr (LHV)", "Enter data here", "Use column to left"))</f>
        <v>Use column to left</v>
      </c>
      <c r="U10" s="35" t="s">
        <v>1100</v>
      </c>
      <c r="V10" s="242" t="str">
        <f t="shared" si="2"/>
        <v>Unfilled fields to left</v>
      </c>
      <c r="X10" s="25"/>
      <c r="Y10" s="12"/>
    </row>
    <row r="11" spans="1:29">
      <c r="B11" s="186" t="s">
        <v>1042</v>
      </c>
      <c r="C11" s="184" t="s">
        <v>1043</v>
      </c>
      <c r="D11" s="179" t="s">
        <v>459</v>
      </c>
      <c r="E11" s="35"/>
      <c r="F11" s="21"/>
      <c r="G11" s="21"/>
      <c r="H11" s="20"/>
      <c r="I11" s="36"/>
      <c r="J11" s="300"/>
      <c r="K11" s="302"/>
      <c r="L11" s="302"/>
      <c r="M11" s="302"/>
      <c r="N11" s="242">
        <f t="shared" si="0"/>
        <v>0</v>
      </c>
      <c r="O11" s="12"/>
      <c r="S11" s="35" t="str">
        <f t="shared" si="1"/>
        <v>Enter data here</v>
      </c>
      <c r="T11" s="35" t="str">
        <f t="shared" si="3"/>
        <v>Use column to left</v>
      </c>
      <c r="U11" s="35" t="s">
        <v>1100</v>
      </c>
      <c r="V11" s="242" t="str">
        <f t="shared" si="2"/>
        <v>Unfilled fields to left</v>
      </c>
      <c r="X11" s="25"/>
      <c r="Y11" s="12"/>
    </row>
    <row r="12" spans="1:29">
      <c r="B12" s="186" t="s">
        <v>1042</v>
      </c>
      <c r="C12" s="184" t="s">
        <v>1045</v>
      </c>
      <c r="D12" s="179" t="s">
        <v>459</v>
      </c>
      <c r="E12" s="35"/>
      <c r="F12" s="21"/>
      <c r="G12" s="21"/>
      <c r="H12" s="20"/>
      <c r="I12" s="36"/>
      <c r="J12" s="300"/>
      <c r="K12" s="302"/>
      <c r="L12" s="302"/>
      <c r="M12" s="302"/>
      <c r="N12" s="242">
        <f t="shared" si="0"/>
        <v>0</v>
      </c>
      <c r="O12" s="12"/>
      <c r="S12" s="35" t="str">
        <f t="shared" si="1"/>
        <v>Enter data here</v>
      </c>
      <c r="T12" s="35" t="str">
        <f t="shared" si="3"/>
        <v>Use column to left</v>
      </c>
      <c r="U12" s="35" t="s">
        <v>1100</v>
      </c>
      <c r="V12" s="242" t="str">
        <f t="shared" si="2"/>
        <v>Unfilled fields to left</v>
      </c>
      <c r="X12" s="25"/>
      <c r="Y12" s="12"/>
    </row>
    <row r="13" spans="1:29">
      <c r="B13" s="186" t="s">
        <v>1051</v>
      </c>
      <c r="C13" s="184" t="s">
        <v>1010</v>
      </c>
      <c r="D13" s="179" t="s">
        <v>459</v>
      </c>
      <c r="E13" s="35"/>
      <c r="F13" s="21"/>
      <c r="G13" s="21"/>
      <c r="H13" s="20"/>
      <c r="I13" s="36"/>
      <c r="J13" s="300"/>
      <c r="K13" s="302"/>
      <c r="L13" s="302"/>
      <c r="M13" s="302"/>
      <c r="N13" s="242">
        <f t="shared" si="0"/>
        <v>0</v>
      </c>
      <c r="O13" s="12"/>
      <c r="S13" s="35" t="str">
        <f t="shared" si="1"/>
        <v>Enter data here</v>
      </c>
      <c r="T13" s="35" t="str">
        <f t="shared" si="3"/>
        <v>Use column to left</v>
      </c>
      <c r="U13" s="35" t="s">
        <v>1100</v>
      </c>
      <c r="V13" s="242" t="str">
        <f t="shared" si="2"/>
        <v>Unfilled fields to left</v>
      </c>
      <c r="X13" s="25"/>
      <c r="Y13" s="12"/>
    </row>
    <row r="14" spans="1:29">
      <c r="B14" s="186" t="s">
        <v>1051</v>
      </c>
      <c r="C14" s="184" t="s">
        <v>1101</v>
      </c>
      <c r="D14" s="179" t="s">
        <v>459</v>
      </c>
      <c r="E14" s="35"/>
      <c r="F14" s="21"/>
      <c r="G14" s="21"/>
      <c r="H14" s="20"/>
      <c r="I14" s="36"/>
      <c r="J14" s="300"/>
      <c r="K14" s="302"/>
      <c r="L14" s="302"/>
      <c r="M14" s="302"/>
      <c r="N14" s="242">
        <f t="shared" si="0"/>
        <v>0</v>
      </c>
      <c r="O14" s="12"/>
      <c r="S14" s="35" t="str">
        <f t="shared" si="1"/>
        <v>Enter data here</v>
      </c>
      <c r="T14" s="35" t="str">
        <f t="shared" si="3"/>
        <v>Use column to left</v>
      </c>
      <c r="U14" s="35" t="s">
        <v>1100</v>
      </c>
      <c r="V14" s="242" t="str">
        <f t="shared" si="2"/>
        <v>Unfilled fields to left</v>
      </c>
      <c r="X14" s="25"/>
      <c r="Y14" s="12"/>
    </row>
    <row r="15" spans="1:29">
      <c r="B15" s="186" t="s">
        <v>1102</v>
      </c>
      <c r="C15" s="184" t="s">
        <v>1055</v>
      </c>
      <c r="D15" s="179" t="s">
        <v>459</v>
      </c>
      <c r="E15" s="35"/>
      <c r="F15" s="21"/>
      <c r="G15" s="21"/>
      <c r="H15" s="20"/>
      <c r="I15" s="36"/>
      <c r="J15" s="300"/>
      <c r="K15" s="302"/>
      <c r="L15" s="302"/>
      <c r="M15" s="302"/>
      <c r="N15" s="242">
        <f t="shared" si="0"/>
        <v>0</v>
      </c>
      <c r="O15" s="12"/>
      <c r="S15" s="35" t="str">
        <f t="shared" si="1"/>
        <v>Enter data here</v>
      </c>
      <c r="T15" s="35" t="str">
        <f t="shared" si="3"/>
        <v>Use column to left</v>
      </c>
      <c r="U15" s="35" t="s">
        <v>1100</v>
      </c>
      <c r="V15" s="242" t="str">
        <f t="shared" si="2"/>
        <v>Unfilled fields to left</v>
      </c>
      <c r="X15" s="25"/>
      <c r="Y15" s="12"/>
    </row>
    <row r="16" spans="1:29">
      <c r="B16" s="186" t="s">
        <v>1102</v>
      </c>
      <c r="C16" s="184"/>
      <c r="D16" s="179"/>
      <c r="E16" s="35"/>
      <c r="F16" s="21"/>
      <c r="G16" s="21"/>
      <c r="H16" s="20"/>
      <c r="I16" s="36"/>
      <c r="J16" s="300"/>
      <c r="K16" s="302"/>
      <c r="L16" s="302"/>
      <c r="M16" s="302"/>
      <c r="N16" s="242">
        <f t="shared" si="0"/>
        <v>0</v>
      </c>
      <c r="O16" s="12"/>
      <c r="S16" s="35" t="str">
        <f t="shared" si="1"/>
        <v>Enter data here</v>
      </c>
      <c r="T16" s="35" t="str">
        <f t="shared" si="3"/>
        <v>Use column to left</v>
      </c>
      <c r="U16" s="35" t="s">
        <v>1100</v>
      </c>
      <c r="V16" s="242" t="str">
        <f t="shared" si="2"/>
        <v>Unfilled fields to left</v>
      </c>
      <c r="X16" s="25"/>
      <c r="Y16" s="12"/>
    </row>
    <row r="17" spans="2:29">
      <c r="B17" s="16"/>
      <c r="C17" s="15"/>
      <c r="D17" s="179"/>
      <c r="E17" s="35"/>
      <c r="F17" s="21"/>
      <c r="G17" s="21"/>
      <c r="H17" s="20"/>
      <c r="I17" s="36"/>
      <c r="J17" s="300"/>
      <c r="K17" s="302"/>
      <c r="L17" s="302"/>
      <c r="M17" s="302"/>
      <c r="N17" s="242">
        <f t="shared" si="0"/>
        <v>0</v>
      </c>
      <c r="O17" s="12"/>
      <c r="S17" s="35" t="str">
        <f t="shared" si="1"/>
        <v/>
      </c>
      <c r="T17" s="35" t="str">
        <f t="shared" si="3"/>
        <v/>
      </c>
      <c r="U17" s="35"/>
      <c r="V17" s="242" t="str">
        <f t="shared" si="2"/>
        <v>Unfilled fields to left</v>
      </c>
      <c r="X17" s="25"/>
      <c r="Y17" s="12"/>
    </row>
    <row r="18" spans="2:29">
      <c r="C18" s="17"/>
      <c r="D18" s="17"/>
      <c r="E18" s="506"/>
      <c r="F18" s="26"/>
      <c r="G18" s="27"/>
      <c r="H18" s="22"/>
      <c r="I18" s="22"/>
      <c r="J18" s="41"/>
      <c r="K18" s="41"/>
      <c r="L18" s="41"/>
      <c r="M18" s="41"/>
      <c r="N18" s="41"/>
      <c r="O18" s="12"/>
      <c r="S18" s="41"/>
      <c r="T18" s="41"/>
      <c r="U18" s="41"/>
      <c r="V18" s="41"/>
      <c r="X18" s="27"/>
      <c r="Y18" s="12"/>
    </row>
    <row r="19" spans="2:29">
      <c r="B19" s="145" t="s">
        <v>1103</v>
      </c>
      <c r="C19" s="145"/>
      <c r="D19" s="145"/>
      <c r="E19" s="301"/>
      <c r="F19" s="145"/>
      <c r="G19" s="145"/>
      <c r="H19" s="145"/>
      <c r="I19" s="145"/>
      <c r="J19" s="301"/>
      <c r="K19" s="301"/>
      <c r="L19" s="301"/>
      <c r="M19" s="301"/>
      <c r="N19" s="301"/>
      <c r="R19"/>
      <c r="S19" s="40"/>
      <c r="T19" s="40"/>
      <c r="U19" s="40"/>
      <c r="V19" s="40"/>
      <c r="W19" s="19"/>
      <c r="X19" s="19"/>
      <c r="Y19" s="19"/>
      <c r="Z19" s="19"/>
      <c r="AA19" s="19"/>
      <c r="AB19" s="19"/>
      <c r="AC19" s="19"/>
    </row>
    <row r="20" spans="2:29">
      <c r="B20" s="16" t="s">
        <v>1104</v>
      </c>
      <c r="C20" s="184" t="s">
        <v>1174</v>
      </c>
      <c r="D20" s="179" t="s">
        <v>459</v>
      </c>
      <c r="E20" s="35"/>
      <c r="F20" s="21"/>
      <c r="G20" s="21"/>
      <c r="H20" s="21"/>
      <c r="I20" s="21"/>
      <c r="J20" s="300"/>
      <c r="K20" s="306"/>
      <c r="L20" s="306"/>
      <c r="M20" s="306"/>
      <c r="N20" s="242">
        <f t="shared" ref="N20:N32" si="4">IF($D20="MWh/yr (LHV)",$E20,$J20*$E20*(1-$L20)/Conversion_kWh_to_MJ)</f>
        <v>0</v>
      </c>
      <c r="O20" s="246" t="str">
        <f>IFERROR(N20/N8,"")</f>
        <v/>
      </c>
      <c r="Q20" s="515">
        <f>IF($D20="MWh/yr (LHV)",$E20,$E20*MAX(0, $J20*(1-$L20)-2.441*$L20)/Conversion_kWh_to_MJ)</f>
        <v>0</v>
      </c>
      <c r="R20" s="245" t="str">
        <f>IFERROR(Q20/(SUM($Q$20:$Q$22)),"")</f>
        <v/>
      </c>
      <c r="S20" s="42"/>
      <c r="T20" s="42"/>
      <c r="U20" s="42"/>
      <c r="V20" s="42"/>
      <c r="X20" s="21"/>
      <c r="Y20" s="12"/>
    </row>
    <row r="21" spans="2:29" s="14" customFormat="1">
      <c r="B21" s="186" t="s">
        <v>1008</v>
      </c>
      <c r="C21" s="184" t="s">
        <v>1106</v>
      </c>
      <c r="D21" s="179" t="s">
        <v>459</v>
      </c>
      <c r="E21" s="35"/>
      <c r="F21" s="21"/>
      <c r="G21" s="21"/>
      <c r="H21" s="20"/>
      <c r="I21" s="33"/>
      <c r="J21" s="300"/>
      <c r="K21" s="302"/>
      <c r="L21" s="302"/>
      <c r="M21" s="302"/>
      <c r="N21" s="242">
        <f t="shared" si="4"/>
        <v>0</v>
      </c>
      <c r="O21" s="12"/>
      <c r="P21" s="12"/>
      <c r="Q21" s="515">
        <f>IF($D21="MWh/yr (LHV)",$E21,$E21*MAX(0, $J21*(1-$L21)-2.441*$L21)/Conversion_kWh_to_MJ)</f>
        <v>0</v>
      </c>
      <c r="R21" s="245" t="str">
        <f t="shared" ref="R21:R22" si="5">IFERROR(Q21/(SUM($Q$20:$Q$22)),"")</f>
        <v/>
      </c>
      <c r="S21" s="42"/>
      <c r="T21" s="42"/>
      <c r="U21" s="107"/>
      <c r="V21" s="12"/>
      <c r="W21" s="23"/>
      <c r="X21" s="21"/>
      <c r="Y21" s="23"/>
      <c r="Z21" s="42"/>
      <c r="AB21" s="12"/>
    </row>
    <row r="22" spans="2:29" s="14" customFormat="1">
      <c r="B22" s="186" t="s">
        <v>1008</v>
      </c>
      <c r="C22" s="184" t="s">
        <v>1107</v>
      </c>
      <c r="D22" s="179" t="s">
        <v>459</v>
      </c>
      <c r="E22" s="35"/>
      <c r="F22" s="21"/>
      <c r="G22" s="21"/>
      <c r="H22" s="20"/>
      <c r="I22" s="20"/>
      <c r="J22" s="302"/>
      <c r="K22" s="302"/>
      <c r="L22" s="302"/>
      <c r="M22" s="302"/>
      <c r="N22" s="242">
        <f t="shared" si="4"/>
        <v>0</v>
      </c>
      <c r="O22" s="12"/>
      <c r="P22" s="12"/>
      <c r="Q22" s="515">
        <f>IF($D22="MWh/yr (LHV)",$E22,$E22*MAX(0, $J22*(1-$L22)-2.441*$L22)/Conversion_kWh_to_MJ)</f>
        <v>0</v>
      </c>
      <c r="R22" s="245" t="str">
        <f t="shared" si="5"/>
        <v/>
      </c>
      <c r="S22" s="42"/>
      <c r="T22" s="42"/>
      <c r="U22" s="107"/>
      <c r="V22" s="12"/>
      <c r="W22" s="23"/>
      <c r="X22" s="21"/>
      <c r="Y22" s="23"/>
      <c r="Z22" s="42"/>
      <c r="AB22" s="12"/>
    </row>
    <row r="23" spans="2:29" s="14" customFormat="1">
      <c r="B23" s="186" t="s">
        <v>1013</v>
      </c>
      <c r="C23" s="184" t="s">
        <v>1108</v>
      </c>
      <c r="D23" s="179" t="s">
        <v>459</v>
      </c>
      <c r="E23" s="35"/>
      <c r="F23" s="21"/>
      <c r="G23" s="21"/>
      <c r="H23" s="20"/>
      <c r="I23" s="20"/>
      <c r="J23" s="302"/>
      <c r="K23" s="302"/>
      <c r="L23" s="302"/>
      <c r="M23" s="302"/>
      <c r="N23" s="242">
        <f t="shared" si="4"/>
        <v>0</v>
      </c>
      <c r="O23" s="12"/>
      <c r="P23" s="12"/>
      <c r="Q23" s="12"/>
      <c r="R23" s="12"/>
      <c r="S23" s="107"/>
      <c r="T23" s="107"/>
      <c r="U23" s="107"/>
      <c r="V23" s="12"/>
      <c r="W23" s="23"/>
      <c r="X23" s="21"/>
      <c r="Y23" s="23"/>
      <c r="Z23" s="42"/>
      <c r="AB23" s="12"/>
    </row>
    <row r="24" spans="2:29" s="14" customFormat="1">
      <c r="B24" s="186" t="s">
        <v>1013</v>
      </c>
      <c r="C24" s="184" t="s">
        <v>1015</v>
      </c>
      <c r="D24" s="179" t="s">
        <v>459</v>
      </c>
      <c r="E24" s="35"/>
      <c r="F24" s="21"/>
      <c r="G24" s="21"/>
      <c r="H24" s="20"/>
      <c r="I24" s="20"/>
      <c r="J24" s="302"/>
      <c r="K24" s="302"/>
      <c r="L24" s="302"/>
      <c r="M24" s="302"/>
      <c r="N24" s="242">
        <f t="shared" si="4"/>
        <v>0</v>
      </c>
      <c r="O24" s="12"/>
      <c r="P24" s="12"/>
      <c r="Q24" s="12"/>
      <c r="R24" s="12"/>
      <c r="S24" s="107"/>
      <c r="T24" s="107"/>
      <c r="U24" s="107"/>
      <c r="V24" s="12"/>
      <c r="W24" s="23"/>
      <c r="X24" s="21"/>
      <c r="Y24" s="23"/>
      <c r="Z24" s="42"/>
      <c r="AB24" s="12"/>
    </row>
    <row r="25" spans="2:29" s="14" customFormat="1">
      <c r="B25" s="186" t="s">
        <v>1016</v>
      </c>
      <c r="C25" s="184" t="s">
        <v>1017</v>
      </c>
      <c r="D25" s="179" t="s">
        <v>459</v>
      </c>
      <c r="E25" s="35"/>
      <c r="F25" s="21"/>
      <c r="G25" s="21"/>
      <c r="H25" s="20"/>
      <c r="I25" s="36"/>
      <c r="J25" s="300"/>
      <c r="K25" s="302"/>
      <c r="L25" s="302"/>
      <c r="M25" s="302"/>
      <c r="N25" s="242">
        <f t="shared" si="4"/>
        <v>0</v>
      </c>
      <c r="O25" s="12"/>
      <c r="P25" s="12"/>
      <c r="Q25" s="12"/>
      <c r="R25" s="12"/>
      <c r="S25" s="107"/>
      <c r="T25" s="107"/>
      <c r="U25" s="107"/>
      <c r="V25" s="12"/>
      <c r="X25" s="21"/>
    </row>
    <row r="26" spans="2:29" s="14" customFormat="1">
      <c r="B26" s="186" t="s">
        <v>1016</v>
      </c>
      <c r="C26" s="184" t="s">
        <v>1018</v>
      </c>
      <c r="D26" s="179" t="s">
        <v>459</v>
      </c>
      <c r="E26" s="35"/>
      <c r="F26" s="21"/>
      <c r="G26" s="21"/>
      <c r="H26" s="20"/>
      <c r="I26" s="36"/>
      <c r="J26" s="300"/>
      <c r="K26" s="302"/>
      <c r="L26" s="302"/>
      <c r="M26" s="302"/>
      <c r="N26" s="242">
        <f t="shared" si="4"/>
        <v>0</v>
      </c>
      <c r="O26" s="12"/>
      <c r="P26" s="12"/>
      <c r="Q26" s="12"/>
      <c r="R26" s="12"/>
      <c r="S26" s="107"/>
      <c r="T26" s="107"/>
      <c r="U26" s="107"/>
      <c r="V26" s="12"/>
      <c r="X26" s="21"/>
    </row>
    <row r="27" spans="2:29" s="14" customFormat="1">
      <c r="B27" s="186" t="s">
        <v>1057</v>
      </c>
      <c r="C27" s="184" t="s">
        <v>1109</v>
      </c>
      <c r="D27" s="179" t="s">
        <v>459</v>
      </c>
      <c r="E27" s="35"/>
      <c r="F27" s="34"/>
      <c r="G27" s="21"/>
      <c r="H27" s="20"/>
      <c r="I27" s="36"/>
      <c r="J27" s="300"/>
      <c r="K27" s="302"/>
      <c r="L27" s="302"/>
      <c r="M27" s="302"/>
      <c r="N27" s="242">
        <f t="shared" si="4"/>
        <v>0</v>
      </c>
      <c r="O27" s="12"/>
      <c r="P27" s="12"/>
      <c r="Q27" s="12"/>
      <c r="R27" s="12"/>
      <c r="S27" s="300">
        <v>1000</v>
      </c>
      <c r="T27" s="477"/>
      <c r="U27" s="35" t="s">
        <v>1110</v>
      </c>
      <c r="V27" s="242" t="str">
        <f t="shared" ref="V27:V32" si="6">IFERROR(IF(D27="tonnes/yr", $S27*$E27/($N$20*3.6), $T27*$E27*3.6/($N$20*3.6)), "Unfilled fields to left")</f>
        <v>Unfilled fields to left</v>
      </c>
      <c r="X27" s="21"/>
    </row>
    <row r="28" spans="2:29" s="14" customFormat="1">
      <c r="B28" s="186" t="s">
        <v>1070</v>
      </c>
      <c r="C28" s="184" t="s">
        <v>1111</v>
      </c>
      <c r="D28" s="179" t="s">
        <v>459</v>
      </c>
      <c r="E28" s="35">
        <f>E27*E37</f>
        <v>0</v>
      </c>
      <c r="F28" s="34"/>
      <c r="G28" s="21"/>
      <c r="H28" s="20"/>
      <c r="I28" s="36"/>
      <c r="J28" s="300"/>
      <c r="K28" s="302"/>
      <c r="L28" s="302"/>
      <c r="M28" s="302"/>
      <c r="N28" s="242">
        <f t="shared" si="4"/>
        <v>0</v>
      </c>
      <c r="O28" s="12"/>
      <c r="P28" s="12"/>
      <c r="Q28" s="12"/>
      <c r="R28" s="12"/>
      <c r="S28" s="300">
        <v>-1000</v>
      </c>
      <c r="T28" s="477"/>
      <c r="U28" s="35" t="s">
        <v>1112</v>
      </c>
      <c r="V28" s="242" t="str">
        <f t="shared" si="6"/>
        <v>Unfilled fields to left</v>
      </c>
      <c r="X28" s="21"/>
    </row>
    <row r="29" spans="2:29" s="14" customFormat="1">
      <c r="B29" s="186" t="s">
        <v>1113</v>
      </c>
      <c r="C29" s="184" t="s">
        <v>1073</v>
      </c>
      <c r="D29" s="179" t="s">
        <v>459</v>
      </c>
      <c r="E29" s="35"/>
      <c r="F29" s="34"/>
      <c r="G29" s="21"/>
      <c r="H29" s="20"/>
      <c r="I29" s="36"/>
      <c r="J29" s="300"/>
      <c r="K29" s="302"/>
      <c r="L29" s="302"/>
      <c r="M29" s="302"/>
      <c r="N29" s="242">
        <f t="shared" si="4"/>
        <v>0</v>
      </c>
      <c r="O29" s="12"/>
      <c r="P29" s="12"/>
      <c r="Q29" s="12"/>
      <c r="R29" s="12"/>
      <c r="S29" s="300">
        <f>28*1000</f>
        <v>28000</v>
      </c>
      <c r="T29" s="477"/>
      <c r="U29" s="35" t="s">
        <v>1059</v>
      </c>
      <c r="V29" s="242" t="str">
        <f t="shared" si="6"/>
        <v>Unfilled fields to left</v>
      </c>
      <c r="X29" s="21"/>
    </row>
    <row r="30" spans="2:29" s="14" customFormat="1">
      <c r="B30" s="186" t="s">
        <v>1113</v>
      </c>
      <c r="C30" s="184" t="s">
        <v>1075</v>
      </c>
      <c r="D30" s="179" t="s">
        <v>459</v>
      </c>
      <c r="E30" s="35"/>
      <c r="F30" s="21"/>
      <c r="G30" s="21"/>
      <c r="H30" s="20"/>
      <c r="I30" s="36"/>
      <c r="J30" s="300"/>
      <c r="K30" s="302"/>
      <c r="L30" s="302"/>
      <c r="M30" s="302"/>
      <c r="N30" s="242">
        <f t="shared" si="4"/>
        <v>0</v>
      </c>
      <c r="O30" s="12"/>
      <c r="P30" s="12"/>
      <c r="Q30" s="12"/>
      <c r="R30" s="12"/>
      <c r="S30" s="35">
        <v>265000</v>
      </c>
      <c r="T30" s="518"/>
      <c r="U30" s="35" t="s">
        <v>1059</v>
      </c>
      <c r="V30" s="242" t="str">
        <f t="shared" si="6"/>
        <v>Unfilled fields to left</v>
      </c>
      <c r="X30" s="21"/>
    </row>
    <row r="31" spans="2:29" s="14" customFormat="1">
      <c r="B31" s="16"/>
      <c r="C31" s="15"/>
      <c r="D31" s="179"/>
      <c r="E31" s="35"/>
      <c r="F31" s="21"/>
      <c r="G31" s="21"/>
      <c r="H31" s="20"/>
      <c r="I31" s="36"/>
      <c r="J31" s="300"/>
      <c r="K31" s="302"/>
      <c r="L31" s="302"/>
      <c r="M31" s="302"/>
      <c r="N31" s="242">
        <f t="shared" si="4"/>
        <v>0</v>
      </c>
      <c r="O31" s="12"/>
      <c r="P31" s="12"/>
      <c r="Q31" s="12"/>
      <c r="R31" s="12"/>
      <c r="S31" s="300"/>
      <c r="T31" s="477"/>
      <c r="U31" s="302"/>
      <c r="V31" s="242" t="str">
        <f t="shared" si="6"/>
        <v>Unfilled fields to left</v>
      </c>
      <c r="X31" s="21"/>
    </row>
    <row r="32" spans="2:29" s="14" customFormat="1">
      <c r="B32" s="16"/>
      <c r="C32" s="15"/>
      <c r="D32" s="179"/>
      <c r="E32" s="35"/>
      <c r="F32" s="21"/>
      <c r="G32" s="21"/>
      <c r="H32" s="20"/>
      <c r="I32" s="36"/>
      <c r="J32" s="300"/>
      <c r="K32" s="302"/>
      <c r="L32" s="302"/>
      <c r="M32" s="302"/>
      <c r="N32" s="242">
        <f t="shared" si="4"/>
        <v>0</v>
      </c>
      <c r="O32" s="12"/>
      <c r="P32" s="12"/>
      <c r="Q32" s="12"/>
      <c r="R32" s="12"/>
      <c r="S32" s="300"/>
      <c r="T32" s="477"/>
      <c r="U32" s="302"/>
      <c r="V32" s="242" t="str">
        <f t="shared" si="6"/>
        <v>Unfilled fields to left</v>
      </c>
      <c r="X32" s="21"/>
    </row>
    <row r="33" spans="2:25">
      <c r="C33" s="17"/>
      <c r="D33" s="17"/>
      <c r="E33" s="140"/>
      <c r="F33" s="17"/>
      <c r="H33" s="18"/>
      <c r="I33" s="18"/>
      <c r="J33" s="40"/>
      <c r="K33" s="40"/>
      <c r="L33" s="40"/>
      <c r="M33" s="40"/>
      <c r="N33" s="40"/>
      <c r="O33" s="12"/>
      <c r="S33" s="40"/>
      <c r="T33" s="40"/>
      <c r="U33" s="40"/>
      <c r="V33" s="40"/>
      <c r="Y33" s="12"/>
    </row>
    <row r="34" spans="2:25">
      <c r="D34" s="17"/>
      <c r="E34" s="140"/>
      <c r="J34" s="39"/>
      <c r="K34" s="39"/>
      <c r="L34" s="39"/>
      <c r="M34" s="39"/>
      <c r="O34" s="12"/>
      <c r="S34" s="39"/>
      <c r="T34" s="39"/>
      <c r="U34" s="38" t="s">
        <v>1114</v>
      </c>
      <c r="V34" s="153">
        <f>SUM(V7:V33)</f>
        <v>0</v>
      </c>
      <c r="Y34" s="12"/>
    </row>
    <row r="35" spans="2:25">
      <c r="B35" s="145" t="s">
        <v>132</v>
      </c>
      <c r="C35" s="159"/>
      <c r="D35" s="159"/>
      <c r="E35" s="499"/>
      <c r="I35" s="12"/>
      <c r="J35" s="107"/>
      <c r="K35" s="107"/>
      <c r="L35" s="107"/>
      <c r="M35" s="107"/>
      <c r="N35" s="107"/>
      <c r="O35" s="12"/>
      <c r="S35" s="107"/>
      <c r="T35" s="107"/>
      <c r="U35" s="107"/>
      <c r="Y35" s="12"/>
    </row>
    <row r="36" spans="2:25">
      <c r="B36" s="16" t="s">
        <v>1086</v>
      </c>
      <c r="C36" s="15" t="s">
        <v>1087</v>
      </c>
      <c r="D36" s="15" t="s">
        <v>1088</v>
      </c>
      <c r="E36" s="501"/>
      <c r="G36" s="19"/>
      <c r="H36" s="12"/>
      <c r="I36" s="12"/>
      <c r="J36" s="107"/>
      <c r="K36" s="107"/>
      <c r="L36" s="107"/>
      <c r="M36" s="107"/>
      <c r="N36" s="107"/>
      <c r="O36" s="12"/>
      <c r="S36" s="107"/>
      <c r="T36" s="107"/>
      <c r="U36" s="107"/>
      <c r="V36" s="12"/>
      <c r="X36" s="25"/>
      <c r="Y36" s="12"/>
    </row>
    <row r="37" spans="2:25">
      <c r="B37" s="16" t="s">
        <v>1091</v>
      </c>
      <c r="C37" s="15" t="s">
        <v>1092</v>
      </c>
      <c r="D37" s="15" t="s">
        <v>785</v>
      </c>
      <c r="E37" s="512"/>
      <c r="H37" s="12"/>
      <c r="I37" s="12"/>
      <c r="J37" s="107"/>
      <c r="K37" s="107"/>
      <c r="L37" s="107"/>
      <c r="M37" s="107"/>
      <c r="N37" s="107"/>
      <c r="O37" s="12"/>
      <c r="S37" s="107"/>
      <c r="T37" s="107"/>
      <c r="U37" s="107"/>
      <c r="V37" s="12"/>
      <c r="X37" s="25"/>
      <c r="Y37" s="12"/>
    </row>
    <row r="38" spans="2:25">
      <c r="B38" s="16"/>
      <c r="C38" s="15"/>
      <c r="D38" s="15"/>
      <c r="E38" s="512"/>
      <c r="J38" s="39"/>
      <c r="K38" s="39"/>
      <c r="L38" s="39"/>
      <c r="M38" s="39"/>
      <c r="S38" s="39"/>
      <c r="T38" s="39"/>
      <c r="U38" s="39"/>
      <c r="X38" s="25"/>
    </row>
    <row r="39" spans="2:25">
      <c r="B39" s="16"/>
      <c r="C39" s="15"/>
      <c r="D39" s="15"/>
      <c r="E39" s="507"/>
      <c r="J39" s="39"/>
      <c r="K39" s="39"/>
      <c r="L39" s="39"/>
      <c r="M39" s="39"/>
      <c r="S39" s="39"/>
      <c r="T39" s="39"/>
      <c r="U39" s="39"/>
      <c r="X39" s="25"/>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L122" s="39"/>
      <c r="M122" s="39"/>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sheetData>
  <customSheetViews>
    <customSheetView guid="{2D920366-22B2-4182-A65D-0EDBE614FB37}" showGridLines="0">
      <pane xSplit="3" ySplit="5" topLeftCell="D6" activePane="bottomRight" state="frozen"/>
      <selection pane="bottomRight"/>
      <pageMargins left="0" right="0" top="0" bottom="0" header="0" footer="0"/>
    </customSheetView>
    <customSheetView guid="{F468A2FD-7987-4A9D-8BAE-1AACE523607F}" state="hidden">
      <selection activeCell="D2" sqref="D2"/>
      <pageMargins left="0" right="0" top="0" bottom="0" header="0" footer="0"/>
    </customSheetView>
    <customSheetView guid="{D97B1299-69D0-4EE0-B673-CCF74742F96B}">
      <selection activeCell="I2" sqref="I2:K2"/>
      <pageMargins left="0" right="0" top="0" bottom="0" header="0" footer="0"/>
    </customSheetView>
    <customSheetView guid="{3F0A4FBA-5323-448F-A023-B3E14C54064C}" state="hidden">
      <selection activeCell="C2" sqref="C2:E2"/>
      <pageMargins left="0" right="0" top="0" bottom="0" header="0" footer="0"/>
    </customSheetView>
    <customSheetView guid="{E6EFD927-84B2-4D06-BB59-59D9DF522DA2}" state="hidden" topLeftCell="A2">
      <selection activeCell="C2" sqref="C2:E2"/>
      <pageMargins left="0" right="0" top="0" bottom="0" header="0" footer="0"/>
    </customSheetView>
    <customSheetView guid="{0E935136-9A80-44B6-88D5-61E64D742049}" showGridLines="0" state="hidden">
      <pane xSplit="3" ySplit="5" topLeftCell="D6" activePane="bottomRight" state="frozen"/>
      <selection pane="bottomRight" activeCell="I2" sqref="I2:K2"/>
      <pageMargins left="0" right="0" top="0" bottom="0" header="0" footer="0"/>
    </customSheetView>
    <customSheetView guid="{1C16EB38-F785-4168-9938-104594734038}" showGridLines="0" state="hidden">
      <pane xSplit="3" ySplit="5" topLeftCell="D6" activePane="bottomRight" state="frozen"/>
      <selection pane="bottomRight" activeCell="C2" sqref="C2:E2"/>
      <pageMargins left="0" right="0" top="0" bottom="0" header="0" footer="0"/>
    </customSheetView>
    <customSheetView guid="{EECBF9DF-6D77-4263-85DA-71E40216BADD}" state="hidden">
      <selection activeCell="C2" sqref="C2:E2"/>
      <pageMargins left="0" right="0" top="0" bottom="0" header="0" footer="0"/>
    </customSheetView>
    <customSheetView guid="{F03309BC-D3FA-4CF2-833B-D6D9A95FE1FB}" state="hidden">
      <selection activeCell="D2" sqref="D2"/>
      <pageMargins left="0" right="0" top="0" bottom="0" header="0" footer="0"/>
    </customSheetView>
  </customSheetViews>
  <mergeCells count="1">
    <mergeCell ref="I2:K2"/>
  </mergeCells>
  <dataValidations count="5">
    <dataValidation type="decimal" operator="greaterThan" allowBlank="1" showInputMessage="1" showErrorMessage="1" errorTitle="Negative intensity reported" error="GHG emissions intensities for inputs must be reported as non-negative, i.e. negative intensity inputs should report zero" sqref="S29:T33 S9:T27" xr:uid="{27C8F55C-79E8-472E-80E5-26153D42DB6D}">
      <formula1>0</formula1>
    </dataValidation>
    <dataValidation type="custom" allowBlank="1" showInputMessage="1" showErrorMessage="1" error="Please do not change" sqref="R20:R22" xr:uid="{47C20841-2684-428D-8F7E-8A0E3D63CF46}">
      <formula1>"Please do not change"</formula1>
    </dataValidation>
    <dataValidation type="custom" allowBlank="1" showInputMessage="1" showErrorMessage="1" error="Please do not change this formula" sqref="O5:R5" xr:uid="{80F39EC1-4230-4B75-A1C8-FC94399A15C7}">
      <formula1>"Please do not change this formula"</formula1>
    </dataValidation>
    <dataValidation type="custom" allowBlank="1" showInputMessage="1" showErrorMessage="1" error="Please do not change this formula" prompt="Please do not change this formula" sqref="W4 V6:V1048576 N33:N1048576 V1:V4 P1:R4 Q23:R1048576 R6:R19 N1:N7 N18:N19 P21:P1048576 O4 O6:O19 S5:V5" xr:uid="{F56DF6F8-1A55-448D-9B22-3BEA88B5CE57}">
      <formula1>"Please do not change this formula"</formula1>
    </dataValidation>
    <dataValidation type="list" allowBlank="1" showInputMessage="1" showErrorMessage="1" sqref="D8:D17 D20:D32" xr:uid="{7ADF8C58-44F6-4ECB-8806-07639E6C203E}">
      <formula1>Flow_units</formula1>
    </dataValidation>
  </dataValidations>
  <hyperlinks>
    <hyperlink ref="I2:J2" location="'NG Further Transport'!A1" display="Go to the next step of this pathway" xr:uid="{C927E657-03B6-4C1D-8CFD-EAA3D2ABD6FC}"/>
    <hyperlink ref="I2:K2" location="ROG_Transport!A1" display="Go to the next step of this pathway" xr:uid="{5BEC4DD3-D679-49CB-9FAC-2094D5EE9478}"/>
  </hyperlinks>
  <pageMargins left="0" right="0" top="0" bottom="0" header="0" footer="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5" id="{00000000-000E-0000-2000-000004000000}">
            <xm:f>AND(Path&lt;&gt;Units!$B$130, Master_Switch="On")</xm:f>
            <x14:dxf>
              <font>
                <color theme="0"/>
              </font>
              <fill>
                <patternFill>
                  <bgColor theme="0"/>
                </patternFill>
              </fill>
              <border>
                <left/>
                <right/>
                <top/>
                <bottom/>
                <vertical/>
                <horizontal/>
              </border>
            </x14:dxf>
          </x14:cfRule>
          <xm:sqref>A2:H2 L2:XFD2 A3:XFD200</xm:sqref>
        </x14:conditionalFormatting>
        <x14:conditionalFormatting xmlns:xm="http://schemas.microsoft.com/office/excel/2006/main">
          <x14:cfRule type="expression" priority="1" id="{0D874B9F-A745-43EF-A0DA-0AE22037F9F3}">
            <xm:f>AND(Path&lt;&gt;Units!$B$130, Master_Switch="On")</xm:f>
            <x14:dxf>
              <font>
                <color theme="0"/>
              </font>
              <fill>
                <patternFill>
                  <fgColor theme="0"/>
                  <bgColor theme="0"/>
                </patternFill>
              </fill>
              <border>
                <left/>
                <right/>
                <top/>
                <bottom/>
                <vertical/>
                <horizontal/>
              </border>
            </x14:dxf>
          </x14:cfRule>
          <xm:sqref>I2:K2</xm:sqref>
        </x14:conditionalFormatting>
      </x14:conditionalFormatting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F650E-216F-4B98-A2E8-DDBB285B13A4}">
  <sheetPr codeName="Sheet57">
    <tabColor theme="3" tint="-0.249977111117893"/>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55"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20.453125" customWidth="1"/>
    <col min="16" max="16" width="8" customWidth="1"/>
    <col min="17" max="17" width="18.81640625" style="12" customWidth="1"/>
    <col min="18" max="18" width="17.54296875" style="12" customWidth="1"/>
    <col min="19" max="20" width="20.7265625" style="13" customWidth="1"/>
    <col min="21" max="21" width="22.7265625" style="13" customWidth="1"/>
    <col min="22" max="22" width="20.26953125" style="39" customWidth="1"/>
    <col min="23" max="23" width="7.1796875" style="12"/>
    <col min="24" max="24" width="26" style="12" customWidth="1"/>
    <col min="26" max="16384" width="7.1796875" style="12"/>
  </cols>
  <sheetData>
    <row r="1" spans="1:29" ht="31.9" customHeight="1">
      <c r="A1" s="80" t="str">
        <f>IF(AND(Path&lt;&gt;Units!$B$130, Master_Switch="On"),"User should not fill in this sheet, but switch to other non-blank GHG worksheets","")</f>
        <v>User should not fill in this sheet, but switch to other non-blank GHG worksheets</v>
      </c>
      <c r="E1" s="256"/>
    </row>
    <row r="2" spans="1:29" s="19" customFormat="1" ht="20.5" customHeight="1">
      <c r="B2" s="80"/>
      <c r="E2" s="256"/>
      <c r="H2" s="126"/>
      <c r="I2" s="729" t="s">
        <v>1093</v>
      </c>
      <c r="J2" s="731"/>
      <c r="K2" s="732"/>
      <c r="L2" s="39"/>
      <c r="M2" s="39"/>
      <c r="N2" s="39"/>
      <c r="O2"/>
      <c r="P2"/>
      <c r="Q2" s="12"/>
      <c r="R2" s="12"/>
      <c r="S2" s="126"/>
      <c r="T2" s="126"/>
      <c r="U2" s="126"/>
      <c r="V2" s="125"/>
      <c r="Y2"/>
    </row>
    <row r="3" spans="1:29" ht="15" customHeight="1">
      <c r="E3" s="256"/>
    </row>
    <row r="4" spans="1:29" ht="15.65" customHeight="1" thickBot="1">
      <c r="B4" s="3"/>
      <c r="C4" s="3"/>
      <c r="D4" s="3"/>
      <c r="E4" s="455"/>
      <c r="F4" s="3"/>
      <c r="G4" s="3"/>
      <c r="H4" s="1"/>
      <c r="I4" s="1"/>
      <c r="J4" s="1"/>
      <c r="K4" s="1"/>
      <c r="L4" s="1"/>
      <c r="M4" s="1"/>
      <c r="N4" s="37"/>
      <c r="O4" s="1"/>
      <c r="P4" s="1"/>
      <c r="Q4" s="3"/>
      <c r="R4" s="3"/>
      <c r="S4" s="1"/>
      <c r="T4" s="1"/>
      <c r="U4" s="1"/>
      <c r="V4" s="37"/>
      <c r="W4" s="37"/>
      <c r="X4" s="3"/>
    </row>
    <row r="5" spans="1:29"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9" ht="15" thickTop="1">
      <c r="E6" s="457"/>
      <c r="Q6"/>
      <c r="R6"/>
      <c r="S6"/>
      <c r="T6"/>
      <c r="U6"/>
      <c r="V6"/>
    </row>
    <row r="7" spans="1:29">
      <c r="B7" s="145" t="s">
        <v>1097</v>
      </c>
      <c r="C7" s="145"/>
      <c r="D7" s="145"/>
      <c r="E7" s="324"/>
      <c r="F7" s="145"/>
      <c r="G7" s="145"/>
      <c r="H7" s="145"/>
      <c r="I7" s="145"/>
      <c r="J7" s="145"/>
      <c r="K7" s="145"/>
      <c r="L7" s="145"/>
      <c r="M7" s="145"/>
      <c r="N7" s="301"/>
      <c r="Q7"/>
      <c r="R7"/>
      <c r="S7"/>
      <c r="T7"/>
      <c r="U7"/>
      <c r="V7"/>
      <c r="W7" s="19"/>
      <c r="X7" s="19"/>
      <c r="Y7" s="19"/>
      <c r="Z7" s="19"/>
      <c r="AA7" s="19"/>
      <c r="AB7" s="19"/>
      <c r="AC7" s="19"/>
    </row>
    <row r="8" spans="1:29">
      <c r="B8" s="16" t="s">
        <v>1115</v>
      </c>
      <c r="C8" s="184" t="s">
        <v>1175</v>
      </c>
      <c r="D8" s="179" t="s">
        <v>459</v>
      </c>
      <c r="E8" s="35"/>
      <c r="F8" s="21"/>
      <c r="G8" s="21"/>
      <c r="H8" s="20"/>
      <c r="I8" s="20"/>
      <c r="J8" s="300"/>
      <c r="K8" s="302"/>
      <c r="L8" s="302"/>
      <c r="M8" s="302"/>
      <c r="N8" s="242">
        <f t="shared" ref="N8:N17" si="0">IF($D8="MWh/yr (LHV)",$E8,$J8*$E8*(1-$L8)/Conversion_kWh_to_MJ)</f>
        <v>0</v>
      </c>
      <c r="O8" s="12"/>
      <c r="P8" s="12"/>
      <c r="S8" s="107"/>
      <c r="T8" s="107"/>
      <c r="U8" s="107"/>
      <c r="V8" s="12"/>
      <c r="X8" s="24"/>
      <c r="Y8" s="12"/>
    </row>
    <row r="9" spans="1:29">
      <c r="B9" s="186" t="s">
        <v>1021</v>
      </c>
      <c r="C9" s="184" t="s">
        <v>1116</v>
      </c>
      <c r="D9" s="179" t="s">
        <v>479</v>
      </c>
      <c r="E9" s="35"/>
      <c r="F9" s="21"/>
      <c r="G9" s="21"/>
      <c r="H9" s="20"/>
      <c r="I9" s="36"/>
      <c r="J9" s="300"/>
      <c r="K9" s="302"/>
      <c r="L9" s="302"/>
      <c r="M9" s="302"/>
      <c r="N9" s="242">
        <f t="shared" si="0"/>
        <v>0</v>
      </c>
      <c r="O9" s="12"/>
      <c r="P9" s="12"/>
      <c r="S9" s="35" t="str">
        <f>IF(B9="", "", IF(D9="MWh/yr (LHV)", "Use column to right", "Enter data here"))</f>
        <v>Use column to right</v>
      </c>
      <c r="T9" s="300" t="e">
        <f>INDEX(Proj_grid_intensity_kWh,MATCH(Operations_year,Proj_grid_year,0))/Conversion_kWh_to_MJ</f>
        <v>#N/A</v>
      </c>
      <c r="U9" s="35" t="s">
        <v>1064</v>
      </c>
      <c r="V9" s="242" t="str">
        <f t="shared" ref="V9:V17" si="1">IFERROR(IF(D9="tonnes/yr", $S9*$E9/($N$20*3.6), $T9*$E9*3.6/($N$20*3.6)), "Unfilled fields to left")</f>
        <v>Unfilled fields to left</v>
      </c>
      <c r="X9" s="25"/>
      <c r="Y9" s="12"/>
    </row>
    <row r="10" spans="1:29">
      <c r="B10" s="186" t="s">
        <v>1021</v>
      </c>
      <c r="C10" s="184"/>
      <c r="D10" s="179"/>
      <c r="E10" s="35"/>
      <c r="F10" s="21"/>
      <c r="G10" s="21"/>
      <c r="H10" s="20"/>
      <c r="I10" s="36"/>
      <c r="J10" s="300"/>
      <c r="K10" s="302"/>
      <c r="L10" s="302"/>
      <c r="M10" s="302"/>
      <c r="N10" s="242">
        <f t="shared" si="0"/>
        <v>0</v>
      </c>
      <c r="O10" s="12"/>
      <c r="P10" s="12"/>
      <c r="S10" s="35" t="str">
        <f>IF(B10="", "", IF(D10="MWh/yr (LHV)", "Use column to right", "Enter data here"))</f>
        <v>Enter data here</v>
      </c>
      <c r="T10" s="35" t="str">
        <f t="shared" ref="T10:T17" si="2">IF(B10="", "", IF(D10="MWh/yr (LHV)", "Enter data here", "Use column to left"))</f>
        <v>Use column to left</v>
      </c>
      <c r="U10" s="35" t="s">
        <v>1100</v>
      </c>
      <c r="V10" s="242" t="str">
        <f t="shared" si="1"/>
        <v>Unfilled fields to left</v>
      </c>
      <c r="X10" s="25"/>
      <c r="Y10" s="12"/>
    </row>
    <row r="11" spans="1:29">
      <c r="B11" s="186" t="s">
        <v>1042</v>
      </c>
      <c r="C11" s="184" t="s">
        <v>1043</v>
      </c>
      <c r="D11" s="179" t="s">
        <v>459</v>
      </c>
      <c r="E11" s="35"/>
      <c r="F11" s="21"/>
      <c r="G11" s="21"/>
      <c r="H11" s="20"/>
      <c r="I11" s="36"/>
      <c r="J11" s="300"/>
      <c r="K11" s="302"/>
      <c r="L11" s="302"/>
      <c r="M11" s="302"/>
      <c r="N11" s="242">
        <f t="shared" si="0"/>
        <v>0</v>
      </c>
      <c r="O11" s="12"/>
      <c r="P11" s="12"/>
      <c r="S11" s="35" t="str">
        <f t="shared" ref="S11:S17" si="3">IF(B11="", "", IF(D11="MWh/yr (LHV)", "Use column to right", "Enter data here"))</f>
        <v>Enter data here</v>
      </c>
      <c r="T11" s="35" t="str">
        <f t="shared" si="2"/>
        <v>Use column to left</v>
      </c>
      <c r="U11" s="35" t="s">
        <v>1100</v>
      </c>
      <c r="V11" s="242" t="str">
        <f t="shared" si="1"/>
        <v>Unfilled fields to left</v>
      </c>
      <c r="X11" s="25"/>
      <c r="Y11" s="12"/>
    </row>
    <row r="12" spans="1:29">
      <c r="B12" s="186" t="s">
        <v>1042</v>
      </c>
      <c r="C12" s="184" t="s">
        <v>1045</v>
      </c>
      <c r="D12" s="179" t="s">
        <v>459</v>
      </c>
      <c r="E12" s="35"/>
      <c r="F12" s="21"/>
      <c r="G12" s="21"/>
      <c r="H12" s="20"/>
      <c r="I12" s="36"/>
      <c r="J12" s="300"/>
      <c r="K12" s="302"/>
      <c r="L12" s="302"/>
      <c r="M12" s="302"/>
      <c r="N12" s="242">
        <f t="shared" si="0"/>
        <v>0</v>
      </c>
      <c r="O12" s="12"/>
      <c r="P12" s="12"/>
      <c r="S12" s="35" t="str">
        <f t="shared" si="3"/>
        <v>Enter data here</v>
      </c>
      <c r="T12" s="35" t="str">
        <f t="shared" si="2"/>
        <v>Use column to left</v>
      </c>
      <c r="U12" s="35" t="s">
        <v>1100</v>
      </c>
      <c r="V12" s="242" t="str">
        <f t="shared" si="1"/>
        <v>Unfilled fields to left</v>
      </c>
      <c r="X12" s="25"/>
      <c r="Y12" s="12"/>
    </row>
    <row r="13" spans="1:29">
      <c r="B13" s="186" t="s">
        <v>1051</v>
      </c>
      <c r="C13" s="184" t="s">
        <v>1010</v>
      </c>
      <c r="D13" s="179" t="s">
        <v>459</v>
      </c>
      <c r="E13" s="35"/>
      <c r="F13" s="21"/>
      <c r="G13" s="21"/>
      <c r="H13" s="20"/>
      <c r="I13" s="36"/>
      <c r="J13" s="300"/>
      <c r="K13" s="302"/>
      <c r="L13" s="302"/>
      <c r="M13" s="302"/>
      <c r="N13" s="242">
        <f t="shared" si="0"/>
        <v>0</v>
      </c>
      <c r="O13" s="12"/>
      <c r="P13" s="12"/>
      <c r="S13" s="35" t="str">
        <f t="shared" si="3"/>
        <v>Enter data here</v>
      </c>
      <c r="T13" s="35" t="str">
        <f t="shared" si="2"/>
        <v>Use column to left</v>
      </c>
      <c r="U13" s="35" t="s">
        <v>1100</v>
      </c>
      <c r="V13" s="242" t="str">
        <f t="shared" si="1"/>
        <v>Unfilled fields to left</v>
      </c>
      <c r="X13" s="25"/>
      <c r="Y13" s="12"/>
    </row>
    <row r="14" spans="1:29">
      <c r="B14" s="186" t="s">
        <v>1051</v>
      </c>
      <c r="C14" s="184" t="s">
        <v>1101</v>
      </c>
      <c r="D14" s="179" t="s">
        <v>459</v>
      </c>
      <c r="E14" s="35"/>
      <c r="F14" s="21"/>
      <c r="G14" s="21"/>
      <c r="H14" s="20"/>
      <c r="I14" s="36"/>
      <c r="J14" s="300"/>
      <c r="K14" s="302"/>
      <c r="L14" s="302"/>
      <c r="M14" s="302"/>
      <c r="N14" s="242">
        <f t="shared" si="0"/>
        <v>0</v>
      </c>
      <c r="O14" s="12"/>
      <c r="P14" s="12"/>
      <c r="S14" s="35" t="str">
        <f t="shared" si="3"/>
        <v>Enter data here</v>
      </c>
      <c r="T14" s="35" t="str">
        <f t="shared" si="2"/>
        <v>Use column to left</v>
      </c>
      <c r="U14" s="35" t="s">
        <v>1100</v>
      </c>
      <c r="V14" s="242" t="str">
        <f t="shared" si="1"/>
        <v>Unfilled fields to left</v>
      </c>
      <c r="X14" s="25"/>
      <c r="Y14" s="12"/>
    </row>
    <row r="15" spans="1:29">
      <c r="B15" s="186" t="s">
        <v>1102</v>
      </c>
      <c r="C15" s="184" t="s">
        <v>1055</v>
      </c>
      <c r="D15" s="179" t="s">
        <v>459</v>
      </c>
      <c r="E15" s="35"/>
      <c r="F15" s="21"/>
      <c r="G15" s="21"/>
      <c r="H15" s="20"/>
      <c r="I15" s="36"/>
      <c r="J15" s="300"/>
      <c r="K15" s="302"/>
      <c r="L15" s="302"/>
      <c r="M15" s="302"/>
      <c r="N15" s="242">
        <f t="shared" si="0"/>
        <v>0</v>
      </c>
      <c r="O15" s="12"/>
      <c r="P15" s="12"/>
      <c r="S15" s="35" t="str">
        <f t="shared" si="3"/>
        <v>Enter data here</v>
      </c>
      <c r="T15" s="35" t="str">
        <f t="shared" si="2"/>
        <v>Use column to left</v>
      </c>
      <c r="U15" s="35" t="s">
        <v>1100</v>
      </c>
      <c r="V15" s="242" t="str">
        <f t="shared" si="1"/>
        <v>Unfilled fields to left</v>
      </c>
      <c r="X15" s="25"/>
      <c r="Y15" s="12"/>
    </row>
    <row r="16" spans="1:29">
      <c r="B16" s="186" t="s">
        <v>1102</v>
      </c>
      <c r="C16" s="184"/>
      <c r="D16" s="179"/>
      <c r="E16" s="35"/>
      <c r="F16" s="21"/>
      <c r="G16" s="21"/>
      <c r="H16" s="20"/>
      <c r="I16" s="36"/>
      <c r="J16" s="300"/>
      <c r="K16" s="302"/>
      <c r="L16" s="302"/>
      <c r="M16" s="302"/>
      <c r="N16" s="242">
        <f t="shared" si="0"/>
        <v>0</v>
      </c>
      <c r="O16" s="12"/>
      <c r="P16" s="12"/>
      <c r="S16" s="35" t="str">
        <f t="shared" si="3"/>
        <v>Enter data here</v>
      </c>
      <c r="T16" s="35" t="str">
        <f t="shared" si="2"/>
        <v>Use column to left</v>
      </c>
      <c r="U16" s="35" t="s">
        <v>1100</v>
      </c>
      <c r="V16" s="242" t="str">
        <f t="shared" si="1"/>
        <v>Unfilled fields to left</v>
      </c>
      <c r="X16" s="25"/>
      <c r="Y16" s="12"/>
    </row>
    <row r="17" spans="2:29">
      <c r="B17" s="16"/>
      <c r="C17" s="15"/>
      <c r="D17" s="179"/>
      <c r="E17" s="35"/>
      <c r="F17" s="21"/>
      <c r="G17" s="21"/>
      <c r="H17" s="20"/>
      <c r="I17" s="36"/>
      <c r="J17" s="300"/>
      <c r="K17" s="302"/>
      <c r="L17" s="302"/>
      <c r="M17" s="302"/>
      <c r="N17" s="242">
        <f t="shared" si="0"/>
        <v>0</v>
      </c>
      <c r="O17" s="12"/>
      <c r="P17" s="12"/>
      <c r="S17" s="35" t="str">
        <f t="shared" si="3"/>
        <v/>
      </c>
      <c r="T17" s="35" t="str">
        <f t="shared" si="2"/>
        <v/>
      </c>
      <c r="U17" s="35"/>
      <c r="V17" s="242" t="str">
        <f t="shared" si="1"/>
        <v>Unfilled fields to left</v>
      </c>
      <c r="X17" s="25"/>
      <c r="Y17" s="12"/>
    </row>
    <row r="18" spans="2:29">
      <c r="C18" s="17"/>
      <c r="D18" s="17"/>
      <c r="E18" s="506"/>
      <c r="F18" s="26"/>
      <c r="G18" s="27"/>
      <c r="H18" s="22"/>
      <c r="I18" s="22"/>
      <c r="J18" s="41"/>
      <c r="K18" s="41"/>
      <c r="L18" s="41"/>
      <c r="M18" s="41"/>
      <c r="N18" s="41"/>
      <c r="S18" s="41"/>
      <c r="T18" s="41"/>
      <c r="U18" s="41"/>
      <c r="V18" s="41"/>
      <c r="X18" s="27"/>
      <c r="Y18" s="12"/>
    </row>
    <row r="19" spans="2:29">
      <c r="B19" s="145" t="s">
        <v>1103</v>
      </c>
      <c r="C19" s="145"/>
      <c r="D19" s="145"/>
      <c r="E19" s="301"/>
      <c r="F19" s="145"/>
      <c r="G19" s="145"/>
      <c r="H19" s="145"/>
      <c r="I19" s="145"/>
      <c r="J19" s="301"/>
      <c r="K19" s="301"/>
      <c r="L19" s="301"/>
      <c r="M19" s="301"/>
      <c r="N19" s="301"/>
      <c r="Q19"/>
      <c r="R19"/>
      <c r="S19" s="40"/>
      <c r="T19" s="40"/>
      <c r="U19" s="40"/>
      <c r="V19" s="40"/>
      <c r="W19" s="19"/>
      <c r="X19" s="19"/>
      <c r="Y19" s="19"/>
      <c r="Z19" s="19"/>
      <c r="AA19" s="19"/>
      <c r="AB19" s="19"/>
      <c r="AC19" s="19"/>
    </row>
    <row r="20" spans="2:29">
      <c r="B20" s="16" t="s">
        <v>1104</v>
      </c>
      <c r="C20" s="184" t="s">
        <v>1175</v>
      </c>
      <c r="D20" s="179" t="s">
        <v>459</v>
      </c>
      <c r="E20" s="35"/>
      <c r="F20" s="21"/>
      <c r="G20" s="21"/>
      <c r="H20" s="21"/>
      <c r="I20" s="21"/>
      <c r="J20" s="300"/>
      <c r="K20" s="306"/>
      <c r="L20" s="306"/>
      <c r="M20" s="306"/>
      <c r="N20" s="242">
        <f t="shared" ref="N20:N31" si="4">IF($D20="MWh/yr (LHV)",$E20,$J20*$E20*(1-$L20)/Conversion_kWh_to_MJ)</f>
        <v>0</v>
      </c>
      <c r="O20" s="246" t="str">
        <f>IFERROR(N20/N8,"")</f>
        <v/>
      </c>
      <c r="Q20" s="515">
        <f>IF($D20="MWh/yr (LHV)",$E20,$E20*MAX(0, $J20*(1-$L20)-2.441*$L20)/Conversion_kWh_to_MJ)</f>
        <v>0</v>
      </c>
      <c r="R20" s="245" t="str">
        <f>IFERROR(Q20/(SUM($Q$20:$Q$22)),"")</f>
        <v/>
      </c>
      <c r="S20" s="42"/>
      <c r="T20" s="42"/>
      <c r="U20" s="42"/>
      <c r="V20" s="42"/>
      <c r="X20" s="21"/>
      <c r="Y20" s="12"/>
    </row>
    <row r="21" spans="2:29" s="14" customFormat="1">
      <c r="B21" s="186" t="s">
        <v>1008</v>
      </c>
      <c r="C21" s="184" t="s">
        <v>1106</v>
      </c>
      <c r="D21" s="179" t="s">
        <v>459</v>
      </c>
      <c r="E21" s="35"/>
      <c r="F21" s="21"/>
      <c r="G21" s="21"/>
      <c r="H21" s="20"/>
      <c r="I21" s="33"/>
      <c r="J21" s="300"/>
      <c r="K21" s="302"/>
      <c r="L21" s="302"/>
      <c r="M21" s="302"/>
      <c r="N21" s="242">
        <f t="shared" si="4"/>
        <v>0</v>
      </c>
      <c r="O21" s="12"/>
      <c r="P21" s="12"/>
      <c r="Q21" s="515">
        <f>IF($D21="MWh/yr (LHV)",$E21,$E21*MAX(0, $J21*(1-$L21)-2.441*$L21)/Conversion_kWh_to_MJ)</f>
        <v>0</v>
      </c>
      <c r="R21" s="245" t="str">
        <f t="shared" ref="R21:R22" si="5">IFERROR(Q21/(SUM($Q$20:$Q$22)),"")</f>
        <v/>
      </c>
      <c r="S21" s="42"/>
      <c r="T21" s="42"/>
      <c r="U21" s="107"/>
      <c r="V21" s="12"/>
      <c r="W21" s="23"/>
      <c r="X21" s="21"/>
      <c r="Y21" s="23"/>
      <c r="Z21" s="42"/>
      <c r="AB21" s="12"/>
    </row>
    <row r="22" spans="2:29" s="14" customFormat="1">
      <c r="B22" s="186" t="s">
        <v>1008</v>
      </c>
      <c r="C22" s="184" t="s">
        <v>1107</v>
      </c>
      <c r="D22" s="179" t="s">
        <v>459</v>
      </c>
      <c r="E22" s="35"/>
      <c r="F22" s="21"/>
      <c r="G22" s="21"/>
      <c r="H22" s="20"/>
      <c r="I22" s="20"/>
      <c r="J22" s="302"/>
      <c r="K22" s="302"/>
      <c r="L22" s="302"/>
      <c r="M22" s="302"/>
      <c r="N22" s="242">
        <f t="shared" si="4"/>
        <v>0</v>
      </c>
      <c r="O22" s="12"/>
      <c r="P22" s="12"/>
      <c r="Q22" s="515">
        <f>IF($D22="MWh/yr (LHV)",$E22,$E22*MAX(0, $J22*(1-$L22)-2.441*$L22)/Conversion_kWh_to_MJ)</f>
        <v>0</v>
      </c>
      <c r="R22" s="245" t="str">
        <f t="shared" si="5"/>
        <v/>
      </c>
      <c r="S22" s="42"/>
      <c r="T22" s="42"/>
      <c r="U22" s="107"/>
      <c r="V22" s="12"/>
      <c r="W22" s="23"/>
      <c r="X22" s="21"/>
      <c r="Y22" s="23"/>
      <c r="Z22" s="42"/>
      <c r="AB22" s="12"/>
    </row>
    <row r="23" spans="2:29" s="14" customFormat="1">
      <c r="B23" s="186" t="s">
        <v>1013</v>
      </c>
      <c r="C23" s="184" t="s">
        <v>1108</v>
      </c>
      <c r="D23" s="179" t="s">
        <v>459</v>
      </c>
      <c r="E23" s="35"/>
      <c r="F23" s="21"/>
      <c r="G23" s="21"/>
      <c r="H23" s="20"/>
      <c r="I23" s="20"/>
      <c r="J23" s="302"/>
      <c r="K23" s="302"/>
      <c r="L23" s="302"/>
      <c r="M23" s="302"/>
      <c r="N23" s="242">
        <f t="shared" si="4"/>
        <v>0</v>
      </c>
      <c r="O23" s="12"/>
      <c r="P23" s="12"/>
      <c r="Q23" s="12"/>
      <c r="R23" s="12"/>
      <c r="S23" s="107"/>
      <c r="T23" s="107"/>
      <c r="U23" s="107"/>
      <c r="V23" s="12"/>
      <c r="W23" s="23"/>
      <c r="X23" s="21"/>
      <c r="Y23" s="23"/>
      <c r="Z23" s="42"/>
      <c r="AB23" s="12"/>
    </row>
    <row r="24" spans="2:29" s="14" customFormat="1">
      <c r="B24" s="186" t="s">
        <v>1013</v>
      </c>
      <c r="C24" s="184" t="s">
        <v>1015</v>
      </c>
      <c r="D24" s="179" t="s">
        <v>459</v>
      </c>
      <c r="E24" s="35"/>
      <c r="F24" s="21"/>
      <c r="G24" s="21"/>
      <c r="H24" s="20"/>
      <c r="I24" s="20"/>
      <c r="J24" s="302"/>
      <c r="K24" s="302"/>
      <c r="L24" s="302"/>
      <c r="M24" s="302"/>
      <c r="N24" s="242">
        <f t="shared" si="4"/>
        <v>0</v>
      </c>
      <c r="O24" s="12"/>
      <c r="P24" s="12"/>
      <c r="Q24" s="12"/>
      <c r="R24" s="12"/>
      <c r="S24" s="107"/>
      <c r="T24" s="107"/>
      <c r="U24" s="107"/>
      <c r="V24" s="12"/>
      <c r="W24" s="23"/>
      <c r="X24" s="21"/>
      <c r="Y24" s="23"/>
      <c r="Z24" s="42"/>
      <c r="AB24" s="12"/>
    </row>
    <row r="25" spans="2:29" s="14" customFormat="1">
      <c r="B25" s="186" t="s">
        <v>1016</v>
      </c>
      <c r="C25" s="184" t="s">
        <v>1017</v>
      </c>
      <c r="D25" s="179" t="s">
        <v>459</v>
      </c>
      <c r="E25" s="35"/>
      <c r="F25" s="21"/>
      <c r="G25" s="21"/>
      <c r="H25" s="20"/>
      <c r="I25" s="36"/>
      <c r="J25" s="300"/>
      <c r="K25" s="302"/>
      <c r="L25" s="302"/>
      <c r="M25" s="302"/>
      <c r="N25" s="242">
        <f t="shared" si="4"/>
        <v>0</v>
      </c>
      <c r="O25" s="12"/>
      <c r="P25" s="12"/>
      <c r="Q25" s="12"/>
      <c r="R25" s="12"/>
      <c r="S25" s="107"/>
      <c r="T25" s="107"/>
      <c r="U25" s="107"/>
      <c r="V25" s="12"/>
      <c r="X25" s="21"/>
    </row>
    <row r="26" spans="2:29" s="14" customFormat="1">
      <c r="B26" s="186" t="s">
        <v>1016</v>
      </c>
      <c r="C26" s="184" t="s">
        <v>1018</v>
      </c>
      <c r="D26" s="179" t="s">
        <v>459</v>
      </c>
      <c r="E26" s="35"/>
      <c r="F26" s="21"/>
      <c r="G26" s="21"/>
      <c r="H26" s="20"/>
      <c r="I26" s="36"/>
      <c r="J26" s="300"/>
      <c r="K26" s="302"/>
      <c r="L26" s="302"/>
      <c r="M26" s="302"/>
      <c r="N26" s="242">
        <f t="shared" si="4"/>
        <v>0</v>
      </c>
      <c r="O26" s="12"/>
      <c r="P26" s="12"/>
      <c r="Q26" s="12"/>
      <c r="R26" s="12"/>
      <c r="S26" s="107"/>
      <c r="T26" s="107"/>
      <c r="U26" s="107"/>
      <c r="V26" s="12"/>
      <c r="X26" s="21"/>
    </row>
    <row r="27" spans="2:29" s="14" customFormat="1">
      <c r="B27" s="186" t="s">
        <v>1057</v>
      </c>
      <c r="C27" s="184" t="s">
        <v>1117</v>
      </c>
      <c r="D27" s="179" t="s">
        <v>459</v>
      </c>
      <c r="E27" s="35"/>
      <c r="F27" s="34"/>
      <c r="G27" s="21"/>
      <c r="H27" s="20"/>
      <c r="I27" s="36"/>
      <c r="J27" s="300"/>
      <c r="K27" s="302"/>
      <c r="L27" s="302"/>
      <c r="M27" s="302"/>
      <c r="N27" s="242">
        <f t="shared" si="4"/>
        <v>0</v>
      </c>
      <c r="O27" s="12"/>
      <c r="P27" s="12"/>
      <c r="Q27" s="12"/>
      <c r="R27" s="12"/>
      <c r="S27" s="300">
        <f>1*1000</f>
        <v>1000</v>
      </c>
      <c r="T27" s="477"/>
      <c r="U27" s="35" t="s">
        <v>1118</v>
      </c>
      <c r="V27" s="242" t="str">
        <f>IFERROR(IF(D27="tonnes/yr", $S27*$E27/($N$20*3.6), $T27*$E27*3.6/($N$20*3.6)), "Unfilled fields to left")</f>
        <v>Unfilled fields to left</v>
      </c>
      <c r="X27" s="21"/>
    </row>
    <row r="28" spans="2:29" s="14" customFormat="1">
      <c r="B28" s="186" t="s">
        <v>1113</v>
      </c>
      <c r="C28" s="184" t="s">
        <v>1073</v>
      </c>
      <c r="D28" s="179" t="s">
        <v>459</v>
      </c>
      <c r="E28" s="35"/>
      <c r="F28" s="34"/>
      <c r="G28" s="21"/>
      <c r="H28" s="20"/>
      <c r="I28" s="36"/>
      <c r="J28" s="300"/>
      <c r="K28" s="302"/>
      <c r="L28" s="302"/>
      <c r="M28" s="302"/>
      <c r="N28" s="242">
        <f t="shared" si="4"/>
        <v>0</v>
      </c>
      <c r="O28" s="12"/>
      <c r="P28" s="12"/>
      <c r="Q28" s="12"/>
      <c r="R28" s="12"/>
      <c r="S28" s="300">
        <f>28*1000</f>
        <v>28000</v>
      </c>
      <c r="T28" s="477"/>
      <c r="U28" s="35" t="s">
        <v>1059</v>
      </c>
      <c r="V28" s="242" t="str">
        <f>IFERROR(IF(D28="tonnes/yr", $S28*$E28/($N$20*3.6), $T28*$E28*3.6/($N$20*3.6)), "Unfilled fields to left")</f>
        <v>Unfilled fields to left</v>
      </c>
      <c r="X28" s="21"/>
    </row>
    <row r="29" spans="2:29" s="14" customFormat="1">
      <c r="B29" s="186" t="s">
        <v>1113</v>
      </c>
      <c r="C29" s="184" t="s">
        <v>1075</v>
      </c>
      <c r="D29" s="179" t="s">
        <v>459</v>
      </c>
      <c r="E29" s="35"/>
      <c r="F29" s="21"/>
      <c r="G29" s="21"/>
      <c r="H29" s="20"/>
      <c r="I29" s="36"/>
      <c r="J29" s="300"/>
      <c r="K29" s="302"/>
      <c r="L29" s="302"/>
      <c r="M29" s="302"/>
      <c r="N29" s="242">
        <f t="shared" si="4"/>
        <v>0</v>
      </c>
      <c r="O29" s="12"/>
      <c r="P29" s="12"/>
      <c r="Q29" s="12"/>
      <c r="R29" s="12"/>
      <c r="S29" s="35">
        <v>265000</v>
      </c>
      <c r="T29" s="518"/>
      <c r="U29" s="35" t="s">
        <v>1059</v>
      </c>
      <c r="V29" s="242" t="str">
        <f>IFERROR(IF(D29="tonnes/yr", $S29*$E29/($N$20*3.6), $T29*$E29*3.6/($N$20*3.6)), "Unfilled fields to left")</f>
        <v>Unfilled fields to left</v>
      </c>
      <c r="X29" s="21"/>
    </row>
    <row r="30" spans="2:29" s="14" customFormat="1">
      <c r="B30" s="16"/>
      <c r="C30" s="15"/>
      <c r="D30" s="179"/>
      <c r="E30" s="35"/>
      <c r="F30" s="21"/>
      <c r="G30" s="21"/>
      <c r="H30" s="20"/>
      <c r="I30" s="36"/>
      <c r="J30" s="300"/>
      <c r="K30" s="302"/>
      <c r="L30" s="302"/>
      <c r="M30" s="302"/>
      <c r="N30" s="242">
        <f t="shared" si="4"/>
        <v>0</v>
      </c>
      <c r="O30" s="12"/>
      <c r="P30" s="12"/>
      <c r="Q30" s="12"/>
      <c r="R30" s="12"/>
      <c r="S30" s="300"/>
      <c r="T30" s="477"/>
      <c r="U30" s="302"/>
      <c r="V30" s="242" t="str">
        <f>IFERROR(IF(D30="tonnes/yr", $S30*$E30/($N$20*3.6), $T30*$E30*3.6/($N$20*3.6)), "Unfilled fields to left")</f>
        <v>Unfilled fields to left</v>
      </c>
      <c r="X30" s="21"/>
    </row>
    <row r="31" spans="2:29" s="14" customFormat="1">
      <c r="B31" s="16"/>
      <c r="C31" s="15"/>
      <c r="D31" s="179"/>
      <c r="E31" s="35"/>
      <c r="F31" s="21"/>
      <c r="G31" s="21"/>
      <c r="H31" s="20"/>
      <c r="I31" s="36"/>
      <c r="J31" s="300"/>
      <c r="K31" s="302"/>
      <c r="L31" s="302"/>
      <c r="M31" s="302"/>
      <c r="N31" s="242">
        <f t="shared" si="4"/>
        <v>0</v>
      </c>
      <c r="O31" s="12"/>
      <c r="P31" s="12"/>
      <c r="Q31" s="12"/>
      <c r="R31" s="12"/>
      <c r="S31" s="300"/>
      <c r="T31" s="477"/>
      <c r="U31" s="302"/>
      <c r="V31" s="242" t="str">
        <f>IFERROR(IF(D31="tonnes/yr", $S31*$E31/($N$20*3.6), $T31*$E31*3.6/($N$20*3.6)), "Unfilled fields to left")</f>
        <v>Unfilled fields to left</v>
      </c>
      <c r="X31" s="21"/>
    </row>
    <row r="32" spans="2:29">
      <c r="C32" s="17"/>
      <c r="D32" s="17"/>
      <c r="E32" s="140"/>
      <c r="F32" s="17"/>
      <c r="H32" s="18"/>
      <c r="I32" s="18"/>
      <c r="J32" s="40"/>
      <c r="K32" s="40"/>
      <c r="L32" s="40"/>
      <c r="M32" s="40"/>
      <c r="N32" s="40"/>
      <c r="O32" s="12"/>
      <c r="P32" s="12"/>
      <c r="S32" s="40"/>
      <c r="T32" s="40"/>
      <c r="U32" s="40"/>
      <c r="V32" s="40"/>
      <c r="Y32" s="12"/>
    </row>
    <row r="33" spans="2:25">
      <c r="D33" s="17"/>
      <c r="E33" s="140"/>
      <c r="J33" s="39"/>
      <c r="K33" s="39"/>
      <c r="L33" s="39"/>
      <c r="M33" s="39"/>
      <c r="O33" s="12"/>
      <c r="P33" s="12"/>
      <c r="S33" s="39"/>
      <c r="T33" s="39"/>
      <c r="U33" s="38" t="s">
        <v>1114</v>
      </c>
      <c r="V33" s="153">
        <f>SUM(V7:V32)</f>
        <v>0</v>
      </c>
      <c r="Y33" s="12"/>
    </row>
    <row r="34" spans="2:25">
      <c r="B34" s="145" t="s">
        <v>132</v>
      </c>
      <c r="C34" s="159"/>
      <c r="D34" s="159"/>
      <c r="E34" s="499"/>
      <c r="I34" s="12"/>
      <c r="J34" s="107"/>
      <c r="K34" s="107"/>
      <c r="L34" s="107"/>
      <c r="M34" s="107"/>
      <c r="N34" s="107"/>
      <c r="O34" s="12"/>
      <c r="P34" s="12"/>
      <c r="S34" s="107"/>
      <c r="T34" s="107"/>
      <c r="U34" s="107"/>
      <c r="Y34" s="12"/>
    </row>
    <row r="35" spans="2:25">
      <c r="B35" s="16" t="s">
        <v>1086</v>
      </c>
      <c r="C35" s="15" t="s">
        <v>1087</v>
      </c>
      <c r="D35" s="15" t="s">
        <v>1088</v>
      </c>
      <c r="E35" s="501"/>
      <c r="G35" s="19"/>
      <c r="H35" s="12"/>
      <c r="I35" s="12"/>
      <c r="J35" s="107"/>
      <c r="K35" s="107"/>
      <c r="L35" s="107"/>
      <c r="M35" s="107"/>
      <c r="N35" s="107"/>
      <c r="O35" s="12"/>
      <c r="P35" s="12"/>
      <c r="S35" s="107"/>
      <c r="T35" s="107"/>
      <c r="U35" s="107"/>
      <c r="V35" s="12"/>
      <c r="X35" s="25"/>
      <c r="Y35" s="12"/>
    </row>
    <row r="36" spans="2:25">
      <c r="B36" s="16" t="s">
        <v>1119</v>
      </c>
      <c r="C36" s="15" t="s">
        <v>1120</v>
      </c>
      <c r="D36" s="15" t="s">
        <v>299</v>
      </c>
      <c r="E36" s="501"/>
      <c r="H36" s="12"/>
      <c r="I36" s="12"/>
      <c r="J36" s="107"/>
      <c r="K36" s="107"/>
      <c r="L36" s="107"/>
      <c r="M36" s="107"/>
      <c r="N36" s="107"/>
      <c r="O36" s="12"/>
      <c r="P36" s="12"/>
      <c r="S36" s="107"/>
      <c r="T36" s="107"/>
      <c r="U36" s="107"/>
      <c r="V36" s="12"/>
      <c r="X36" s="25"/>
      <c r="Y36" s="12"/>
    </row>
    <row r="37" spans="2:25">
      <c r="B37" s="16"/>
      <c r="C37" s="15"/>
      <c r="D37" s="15"/>
      <c r="E37" s="507"/>
      <c r="J37" s="39"/>
      <c r="K37" s="39"/>
      <c r="L37" s="39"/>
      <c r="M37" s="39"/>
      <c r="S37" s="39"/>
      <c r="T37" s="39"/>
      <c r="U37" s="39"/>
      <c r="X37" s="25"/>
    </row>
    <row r="38" spans="2:25">
      <c r="B38" s="16"/>
      <c r="C38" s="15"/>
      <c r="D38" s="15"/>
      <c r="E38" s="507"/>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customSheetView>
    <customSheetView guid="{F468A2FD-7987-4A9D-8BAE-1AACE523607F}" state="hidden">
      <selection activeCell="D2" sqref="D2"/>
      <pageMargins left="0" right="0" top="0" bottom="0" header="0" footer="0"/>
    </customSheetView>
    <customSheetView guid="{D97B1299-69D0-4EE0-B673-CCF74742F96B}">
      <selection activeCell="I2" sqref="I2:K2"/>
      <pageMargins left="0" right="0" top="0" bottom="0" header="0" footer="0"/>
    </customSheetView>
    <customSheetView guid="{3F0A4FBA-5323-448F-A023-B3E14C54064C}" state="hidden">
      <selection activeCell="C2" sqref="C2:E2"/>
      <pageMargins left="0" right="0" top="0" bottom="0" header="0" footer="0"/>
    </customSheetView>
    <customSheetView guid="{E6EFD927-84B2-4D06-BB59-59D9DF522DA2}" state="hidden">
      <selection activeCell="C2" sqref="C2:E2"/>
      <pageMargins left="0" right="0" top="0" bottom="0" header="0" footer="0"/>
    </customSheetView>
    <customSheetView guid="{0E935136-9A80-44B6-88D5-61E64D742049}" showGridLines="0" state="hidden">
      <pane xSplit="3" ySplit="5" topLeftCell="D6" activePane="bottomRight" state="frozen"/>
      <selection pane="bottomRight" activeCell="I2" sqref="I2:K2"/>
      <pageMargins left="0" right="0" top="0" bottom="0" header="0" footer="0"/>
    </customSheetView>
    <customSheetView guid="{1C16EB38-F785-4168-9938-104594734038}" showGridLines="0" state="hidden">
      <pane xSplit="3" ySplit="5" topLeftCell="D6" activePane="bottomRight" state="frozen"/>
      <selection pane="bottomRight" activeCell="C2" sqref="C2:E2"/>
      <pageMargins left="0" right="0" top="0" bottom="0" header="0" footer="0"/>
    </customSheetView>
    <customSheetView guid="{EECBF9DF-6D77-4263-85DA-71E40216BADD}" state="hidden">
      <selection activeCell="C2" sqref="C2:E2"/>
      <pageMargins left="0" right="0" top="0" bottom="0" header="0" footer="0"/>
    </customSheetView>
    <customSheetView guid="{F03309BC-D3FA-4CF2-833B-D6D9A95FE1FB}" state="hidden">
      <selection activeCell="D2" sqref="D2"/>
      <pageMargins left="0" right="0" top="0" bottom="0" header="0" footer="0"/>
    </customSheetView>
  </customSheetViews>
  <mergeCells count="1">
    <mergeCell ref="I2:K2"/>
  </mergeCells>
  <dataValidations count="5">
    <dataValidation type="decimal" operator="greaterThan" allowBlank="1" showInputMessage="1" showErrorMessage="1" errorTitle="Negative intensity reported" error="GHG emissions intensities for inputs must be reported as non-negative, i.e. negative intensity inputs should report zero" sqref="S9:T32" xr:uid="{B1C51395-A8B9-4603-92EF-D003C6F68C14}">
      <formula1>0</formula1>
    </dataValidation>
    <dataValidation type="custom" allowBlank="1" showInputMessage="1" showErrorMessage="1" error="Please do not change" sqref="R20:R22" xr:uid="{688D4A31-B6C5-4E52-81F0-CAE0C803164A}">
      <formula1>"Please do not change"</formula1>
    </dataValidation>
    <dataValidation type="custom" allowBlank="1" showInputMessage="1" showErrorMessage="1" error="Please do not change this formula" sqref="R23:R1048576 R1:R19 N1:Q1048576" xr:uid="{97F7481D-C57A-4DBE-BE8F-86D9C184D6A4}">
      <formula1>"Please do not change this formula"</formula1>
    </dataValidation>
    <dataValidation type="custom" allowBlank="1" showInputMessage="1" showErrorMessage="1" error="Please do not change this formula" prompt="Please do not change this formula" sqref="V6:V1048576 W4 V1:V4 S5:V5" xr:uid="{E618A366-88FF-4D3A-A777-FEFD859F3F5C}">
      <formula1>"Please do not change this formula"</formula1>
    </dataValidation>
    <dataValidation type="list" allowBlank="1" showInputMessage="1" showErrorMessage="1" sqref="D8:D17 D20:D31" xr:uid="{F3E76244-7227-4F64-B19B-6490D7416BC1}">
      <formula1>Flow_units</formula1>
    </dataValidation>
  </dataValidations>
  <hyperlinks>
    <hyperlink ref="I2:J2" location="'NG Processing'!A1" display="Go to the next step of this pathway" xr:uid="{1C86E98E-FEF0-47BF-824A-09D8D3781BB3}"/>
    <hyperlink ref="I2:K2" location="ROG_Reforming_CCS!A1" display="Go to the next step of this pathway" xr:uid="{8B304197-23AB-48F6-96E2-DB2C75E2E770}"/>
  </hyperlinks>
  <pageMargins left="0" right="0" top="0" bottom="0" header="0" footer="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3" id="{00000000-000E-0000-2100-000003000000}">
            <xm:f>AND(Path&lt;&gt;Units!$B$130, Master_Switch="On")</xm:f>
            <x14:dxf>
              <font>
                <color theme="0"/>
              </font>
              <fill>
                <patternFill>
                  <fgColor theme="0"/>
                  <bgColor theme="0"/>
                </patternFill>
              </fill>
              <border>
                <left/>
                <right/>
                <top/>
                <bottom/>
                <vertical/>
                <horizontal/>
              </border>
            </x14:dxf>
          </x14:cfRule>
          <xm:sqref>A2:XFD200</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01ECB-E5BC-42E2-BF38-C11C317F22FC}">
  <sheetPr codeName="Sheet58">
    <tabColor theme="3" tint="-0.249977111117893"/>
  </sheetPr>
  <dimension ref="A1:AB246"/>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9" customWidth="1"/>
    <col min="2" max="2" width="23.26953125" style="19" customWidth="1"/>
    <col min="3" max="3" width="37.1796875" style="19" customWidth="1"/>
    <col min="4" max="4" width="13.26953125" style="19" customWidth="1"/>
    <col min="5" max="5" width="16.453125" style="459" customWidth="1"/>
    <col min="6" max="6" width="22" style="19" customWidth="1"/>
    <col min="7" max="7" width="18.7265625" style="19" customWidth="1"/>
    <col min="8" max="8" width="13.453125" style="126" customWidth="1"/>
    <col min="9" max="9" width="14.1796875" style="126" customWidth="1"/>
    <col min="10" max="10" width="14" style="126" customWidth="1"/>
    <col min="11" max="11" width="13.81640625" style="126" customWidth="1"/>
    <col min="12" max="13" width="13.81640625" style="13" customWidth="1"/>
    <col min="14" max="14" width="14.26953125" style="39" customWidth="1"/>
    <col min="15" max="15" width="18" customWidth="1"/>
    <col min="16" max="16" width="10.1796875" style="12" customWidth="1"/>
    <col min="17" max="17" width="18.81640625" style="12" customWidth="1"/>
    <col min="18" max="18" width="17.54296875" style="12" customWidth="1"/>
    <col min="19" max="20" width="20.7265625" style="126" customWidth="1"/>
    <col min="21" max="21" width="22.7265625" style="126" customWidth="1"/>
    <col min="22" max="22" width="20.26953125" style="125" customWidth="1"/>
    <col min="23" max="23" width="16.54296875" style="19" customWidth="1"/>
    <col min="24" max="24" width="26" style="19" customWidth="1"/>
    <col min="26" max="16384" width="7.1796875" style="19"/>
  </cols>
  <sheetData>
    <row r="1" spans="1:28" ht="31.9" customHeight="1">
      <c r="A1" s="80" t="str">
        <f>IF(AND(Path&lt;&gt;Units!$B$130,Master_Switch="On"),"User should not fill in this sheet, but switch to other non-blank GHG worksheets","")</f>
        <v>User should not fill in this sheet, but switch to other non-blank GHG worksheets</v>
      </c>
      <c r="E1" s="256"/>
    </row>
    <row r="2" spans="1:28" ht="20.5" customHeight="1">
      <c r="B2" s="80"/>
      <c r="E2" s="256"/>
      <c r="I2" s="729" t="s">
        <v>983</v>
      </c>
      <c r="J2" s="731"/>
      <c r="K2" s="732"/>
      <c r="L2" s="39"/>
      <c r="M2" s="39"/>
    </row>
    <row r="3" spans="1:28" ht="15" customHeight="1">
      <c r="E3" s="256"/>
    </row>
    <row r="4" spans="1:28" ht="15.65" customHeight="1" thickBot="1">
      <c r="B4" s="3"/>
      <c r="C4" s="3"/>
      <c r="D4" s="3"/>
      <c r="E4" s="455"/>
      <c r="F4" s="3"/>
      <c r="G4" s="3"/>
      <c r="H4" s="1"/>
      <c r="I4" s="1"/>
      <c r="J4" s="1"/>
      <c r="K4" s="1"/>
      <c r="L4" s="1"/>
      <c r="M4" s="1"/>
      <c r="N4" s="37"/>
      <c r="O4" s="1"/>
      <c r="P4" s="1"/>
      <c r="Q4" s="1"/>
      <c r="R4" s="3"/>
      <c r="S4" s="1"/>
      <c r="T4" s="1"/>
      <c r="U4" s="1"/>
      <c r="V4" s="37"/>
      <c r="W4" s="37"/>
      <c r="X4" s="37"/>
    </row>
    <row r="5" spans="1:28"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8" ht="15" thickTop="1">
      <c r="O6" s="12"/>
      <c r="Q6" s="39"/>
    </row>
    <row r="7" spans="1:28">
      <c r="B7" s="145" t="s">
        <v>1003</v>
      </c>
      <c r="C7" s="145"/>
      <c r="D7" s="145"/>
      <c r="E7" s="324"/>
      <c r="F7" s="145"/>
      <c r="G7" s="145"/>
      <c r="H7" s="145"/>
      <c r="I7" s="145"/>
      <c r="J7" s="145"/>
      <c r="K7" s="324"/>
      <c r="L7" s="145"/>
      <c r="M7" s="145"/>
      <c r="N7" s="301"/>
      <c r="O7" s="12"/>
      <c r="Q7" s="556"/>
      <c r="S7" s="18"/>
      <c r="T7" s="18"/>
      <c r="U7" s="18"/>
      <c r="V7" s="40"/>
      <c r="Y7" s="19"/>
    </row>
    <row r="8" spans="1:28">
      <c r="B8" s="16" t="s">
        <v>1004</v>
      </c>
      <c r="C8" s="184" t="s">
        <v>1175</v>
      </c>
      <c r="D8" s="179" t="s">
        <v>459</v>
      </c>
      <c r="E8" s="35"/>
      <c r="F8" s="24"/>
      <c r="G8" s="24"/>
      <c r="H8" s="24"/>
      <c r="I8" s="24"/>
      <c r="J8" s="35"/>
      <c r="K8" s="35"/>
      <c r="L8" s="306"/>
      <c r="M8" s="306"/>
      <c r="N8" s="242">
        <f t="shared" ref="N8:N17" si="0">IF($D8="MWh/yr (LHV)",$E8,$J8*$E8*(1-$L8)/Conversion_kWh_to_MJ)</f>
        <v>0</v>
      </c>
      <c r="O8" s="12"/>
      <c r="Q8" s="555"/>
      <c r="S8" s="40"/>
      <c r="T8" s="40"/>
      <c r="U8" s="40"/>
      <c r="V8" s="40"/>
      <c r="X8" s="21"/>
      <c r="Y8" s="19"/>
    </row>
    <row r="9" spans="1:28">
      <c r="B9" s="16" t="s">
        <v>1006</v>
      </c>
      <c r="C9" s="15" t="s">
        <v>1121</v>
      </c>
      <c r="D9" s="15" t="s">
        <v>459</v>
      </c>
      <c r="E9" s="35">
        <f>Hydrogen_flow</f>
        <v>0</v>
      </c>
      <c r="F9" s="24"/>
      <c r="G9" s="24"/>
      <c r="H9" s="24"/>
      <c r="I9" s="24"/>
      <c r="J9" s="35">
        <v>120</v>
      </c>
      <c r="K9" s="35"/>
      <c r="L9" s="552">
        <v>0</v>
      </c>
      <c r="M9" s="306"/>
      <c r="N9" s="242">
        <f t="shared" si="0"/>
        <v>0</v>
      </c>
      <c r="O9" s="88" t="str">
        <f>IFERROR(N9/N8,"")</f>
        <v/>
      </c>
      <c r="Q9" s="515">
        <f t="shared" ref="Q9:Q13" si="1">IF($D9="MWh/yr (LHV)",$E9,$E9*MAX(0, $J9*(1-$L9)-2.441*$L9)/Conversion_kWh_to_MJ)</f>
        <v>0</v>
      </c>
      <c r="R9" s="43" t="str">
        <f>IFERROR(Q9/(SUM($Q$9:$Q$13)),"")</f>
        <v/>
      </c>
      <c r="S9" s="42"/>
      <c r="T9" s="42"/>
      <c r="U9" s="42"/>
      <c r="V9" s="19"/>
      <c r="X9" s="21"/>
      <c r="Y9" s="19"/>
    </row>
    <row r="10" spans="1:28">
      <c r="B10" s="186" t="s">
        <v>1008</v>
      </c>
      <c r="C10" s="184" t="s">
        <v>1009</v>
      </c>
      <c r="D10" s="179" t="s">
        <v>459</v>
      </c>
      <c r="E10" s="35"/>
      <c r="F10" s="21"/>
      <c r="G10" s="21"/>
      <c r="H10" s="20"/>
      <c r="I10" s="33"/>
      <c r="J10" s="300"/>
      <c r="K10" s="302"/>
      <c r="L10" s="302"/>
      <c r="M10" s="302"/>
      <c r="N10" s="242">
        <f t="shared" si="0"/>
        <v>0</v>
      </c>
      <c r="O10" s="12"/>
      <c r="Q10" s="515">
        <f t="shared" si="1"/>
        <v>0</v>
      </c>
      <c r="R10" s="43" t="str">
        <f>IFERROR(Q10/(SUM($Q$9:$Q$13)),"")</f>
        <v/>
      </c>
      <c r="S10" s="42"/>
      <c r="T10" s="42"/>
      <c r="U10" s="42"/>
      <c r="V10" s="19"/>
      <c r="W10" s="23"/>
      <c r="X10" s="21"/>
      <c r="Y10" s="19"/>
    </row>
    <row r="11" spans="1:28">
      <c r="B11" s="186" t="s">
        <v>1008</v>
      </c>
      <c r="C11" s="184" t="s">
        <v>1122</v>
      </c>
      <c r="D11" s="179" t="s">
        <v>459</v>
      </c>
      <c r="E11" s="35"/>
      <c r="F11" s="21"/>
      <c r="G11" s="21"/>
      <c r="H11" s="20"/>
      <c r="I11" s="20"/>
      <c r="J11" s="302"/>
      <c r="K11" s="302"/>
      <c r="L11" s="302"/>
      <c r="M11" s="302"/>
      <c r="N11" s="242">
        <f t="shared" si="0"/>
        <v>0</v>
      </c>
      <c r="O11" s="12"/>
      <c r="Q11" s="515">
        <f t="shared" si="1"/>
        <v>0</v>
      </c>
      <c r="R11" s="43" t="str">
        <f>IFERROR(Q11/(SUM($Q$9:$Q$13)),"")</f>
        <v/>
      </c>
      <c r="S11" s="42"/>
      <c r="T11" s="42"/>
      <c r="U11" s="42"/>
      <c r="V11" s="14"/>
      <c r="W11" s="23"/>
      <c r="X11" s="21"/>
      <c r="Y11" s="19"/>
    </row>
    <row r="12" spans="1:28">
      <c r="B12" s="186" t="s">
        <v>1008</v>
      </c>
      <c r="C12" s="184" t="s">
        <v>1011</v>
      </c>
      <c r="D12" s="179" t="s">
        <v>459</v>
      </c>
      <c r="E12" s="35"/>
      <c r="F12" s="21"/>
      <c r="G12" s="21"/>
      <c r="H12" s="20"/>
      <c r="I12" s="20"/>
      <c r="J12" s="302"/>
      <c r="K12" s="302"/>
      <c r="L12" s="302"/>
      <c r="M12" s="302"/>
      <c r="N12" s="242">
        <f t="shared" si="0"/>
        <v>0</v>
      </c>
      <c r="O12" s="12"/>
      <c r="Q12" s="515">
        <f t="shared" si="1"/>
        <v>0</v>
      </c>
      <c r="R12" s="43" t="str">
        <f>IFERROR(Q12/(SUM($Q$9:$Q$13)),"")</f>
        <v/>
      </c>
      <c r="S12" s="40"/>
      <c r="T12" s="40"/>
      <c r="U12" s="40"/>
      <c r="V12" s="40"/>
      <c r="X12" s="21"/>
      <c r="Y12" s="19"/>
    </row>
    <row r="13" spans="1:28">
      <c r="B13" s="186" t="s">
        <v>1008</v>
      </c>
      <c r="C13" s="184" t="s">
        <v>1012</v>
      </c>
      <c r="D13" s="179" t="s">
        <v>459</v>
      </c>
      <c r="E13" s="35"/>
      <c r="F13" s="21"/>
      <c r="G13" s="21"/>
      <c r="H13" s="20"/>
      <c r="I13" s="20"/>
      <c r="J13" s="302"/>
      <c r="K13" s="302"/>
      <c r="L13" s="302"/>
      <c r="M13" s="302"/>
      <c r="N13" s="242">
        <f t="shared" si="0"/>
        <v>0</v>
      </c>
      <c r="O13" s="12"/>
      <c r="Q13" s="515">
        <f t="shared" si="1"/>
        <v>0</v>
      </c>
      <c r="R13" s="43" t="str">
        <f>IFERROR(Q13/(SUM($Q$9:$Q$13)),"")</f>
        <v/>
      </c>
      <c r="S13" s="40"/>
      <c r="T13" s="40"/>
      <c r="U13" s="40"/>
      <c r="V13" s="40"/>
      <c r="X13" s="21"/>
      <c r="Y13" s="19"/>
    </row>
    <row r="14" spans="1:28" s="14" customFormat="1">
      <c r="B14" s="186" t="s">
        <v>1013</v>
      </c>
      <c r="C14" s="184" t="s">
        <v>1108</v>
      </c>
      <c r="D14" s="179" t="s">
        <v>459</v>
      </c>
      <c r="E14" s="35"/>
      <c r="F14" s="21"/>
      <c r="G14" s="21"/>
      <c r="H14" s="20"/>
      <c r="I14" s="20"/>
      <c r="J14" s="302"/>
      <c r="K14" s="302"/>
      <c r="L14" s="302"/>
      <c r="M14" s="302"/>
      <c r="N14" s="242">
        <f t="shared" si="0"/>
        <v>0</v>
      </c>
      <c r="O14" s="12"/>
      <c r="P14" s="12"/>
      <c r="Q14" s="12"/>
      <c r="R14" s="12"/>
      <c r="S14" s="113"/>
      <c r="T14" s="113"/>
      <c r="U14" s="113"/>
      <c r="V14" s="19"/>
      <c r="W14" s="23"/>
      <c r="X14" s="21"/>
      <c r="Y14" s="23"/>
      <c r="Z14" s="42"/>
      <c r="AB14" s="19"/>
    </row>
    <row r="15" spans="1:28" s="14" customFormat="1">
      <c r="B15" s="186" t="s">
        <v>1013</v>
      </c>
      <c r="C15" s="184" t="s">
        <v>1015</v>
      </c>
      <c r="D15" s="179" t="s">
        <v>459</v>
      </c>
      <c r="E15" s="35"/>
      <c r="F15" s="21"/>
      <c r="G15" s="21"/>
      <c r="H15" s="20"/>
      <c r="I15" s="20"/>
      <c r="J15" s="302"/>
      <c r="K15" s="302"/>
      <c r="L15" s="302"/>
      <c r="M15" s="302"/>
      <c r="N15" s="242">
        <f t="shared" si="0"/>
        <v>0</v>
      </c>
      <c r="O15" s="12"/>
      <c r="P15" s="12"/>
      <c r="Q15" s="12"/>
      <c r="R15" s="12"/>
      <c r="S15" s="113"/>
      <c r="T15" s="113"/>
      <c r="U15" s="113"/>
      <c r="V15" s="19"/>
      <c r="W15" s="23"/>
      <c r="X15" s="21"/>
      <c r="Y15" s="23"/>
      <c r="Z15" s="42"/>
      <c r="AB15" s="19"/>
    </row>
    <row r="16" spans="1:28" s="14" customFormat="1">
      <c r="B16" s="186" t="s">
        <v>1016</v>
      </c>
      <c r="C16" s="184" t="s">
        <v>1017</v>
      </c>
      <c r="D16" s="179" t="s">
        <v>459</v>
      </c>
      <c r="E16" s="35"/>
      <c r="F16" s="21"/>
      <c r="G16" s="21"/>
      <c r="H16" s="20"/>
      <c r="I16" s="36"/>
      <c r="J16" s="300"/>
      <c r="K16" s="302"/>
      <c r="L16" s="302"/>
      <c r="M16" s="302"/>
      <c r="N16" s="242">
        <f t="shared" si="0"/>
        <v>0</v>
      </c>
      <c r="O16" s="12"/>
      <c r="P16" s="12"/>
      <c r="Q16" s="12"/>
      <c r="R16" s="12"/>
      <c r="S16" s="113"/>
      <c r="T16" s="113"/>
      <c r="U16" s="113"/>
      <c r="V16" s="19"/>
      <c r="X16" s="21"/>
    </row>
    <row r="17" spans="2:25" s="14" customFormat="1">
      <c r="B17" s="186" t="s">
        <v>1016</v>
      </c>
      <c r="C17" s="184" t="s">
        <v>1018</v>
      </c>
      <c r="D17" s="179" t="s">
        <v>459</v>
      </c>
      <c r="E17" s="35"/>
      <c r="F17" s="21"/>
      <c r="G17" s="21"/>
      <c r="H17" s="20"/>
      <c r="I17" s="36"/>
      <c r="J17" s="300"/>
      <c r="K17" s="302"/>
      <c r="L17" s="302"/>
      <c r="M17" s="302"/>
      <c r="N17" s="242">
        <f t="shared" si="0"/>
        <v>0</v>
      </c>
      <c r="O17" s="12"/>
      <c r="P17" s="12"/>
      <c r="Q17" s="12"/>
      <c r="R17" s="12"/>
      <c r="S17" s="113"/>
      <c r="T17" s="113"/>
      <c r="U17" s="113"/>
      <c r="V17" s="19"/>
      <c r="X17" s="21"/>
    </row>
    <row r="18" spans="2:25">
      <c r="B18" s="78"/>
      <c r="C18" s="262"/>
      <c r="D18" s="78"/>
      <c r="E18" s="482"/>
      <c r="F18" s="261"/>
      <c r="G18" s="79"/>
      <c r="H18" s="260"/>
      <c r="I18" s="260"/>
      <c r="J18" s="482"/>
      <c r="K18" s="254"/>
      <c r="L18" s="73"/>
      <c r="M18" s="73"/>
      <c r="N18" s="73"/>
      <c r="O18" s="12"/>
      <c r="S18" s="40"/>
      <c r="T18" s="40"/>
      <c r="U18" s="40"/>
      <c r="V18" s="40"/>
      <c r="X18" s="261"/>
      <c r="Y18" s="19"/>
    </row>
    <row r="19" spans="2:25" ht="31">
      <c r="B19" s="80" t="str">
        <f>IF(AND(GHG_ROG_REFORM_CCS!$D$9="Default",Master_Switch="On"),"Default data selected for the emissions category below, move to the next emissions category within this step","")</f>
        <v/>
      </c>
      <c r="C19" s="262"/>
      <c r="D19" s="78"/>
      <c r="E19" s="482"/>
      <c r="F19" s="261"/>
      <c r="G19" s="79"/>
      <c r="H19" s="260"/>
      <c r="I19" s="260"/>
      <c r="J19" s="482"/>
      <c r="K19" s="254"/>
      <c r="L19" s="73"/>
      <c r="M19" s="73"/>
      <c r="N19" s="73"/>
      <c r="O19" s="12"/>
      <c r="S19" s="40"/>
      <c r="T19" s="40"/>
      <c r="U19" s="40"/>
      <c r="V19" s="40"/>
      <c r="X19" s="261"/>
      <c r="Y19" s="19"/>
    </row>
    <row r="20" spans="2:25">
      <c r="B20" s="145" t="s">
        <v>1123</v>
      </c>
      <c r="C20" s="259"/>
      <c r="D20" s="259"/>
      <c r="E20" s="494"/>
      <c r="F20" s="258"/>
      <c r="G20" s="257"/>
      <c r="H20" s="151"/>
      <c r="I20" s="151"/>
      <c r="J20" s="494"/>
      <c r="K20" s="491"/>
      <c r="L20" s="492"/>
      <c r="M20" s="492"/>
      <c r="N20" s="491"/>
      <c r="O20" s="151"/>
      <c r="P20" s="152"/>
      <c r="Q20" s="152"/>
      <c r="R20" s="152"/>
      <c r="S20" s="480"/>
      <c r="T20" s="486"/>
      <c r="U20" s="480"/>
      <c r="V20" s="153">
        <f>SUM(V21:V30)</f>
        <v>0</v>
      </c>
      <c r="Y20" s="19"/>
    </row>
    <row r="21" spans="2:25">
      <c r="B21" s="186" t="s">
        <v>1021</v>
      </c>
      <c r="C21" s="184" t="s">
        <v>1124</v>
      </c>
      <c r="D21" s="179" t="s">
        <v>479</v>
      </c>
      <c r="E21" s="35"/>
      <c r="F21" s="24"/>
      <c r="G21" s="24"/>
      <c r="H21" s="24"/>
      <c r="I21" s="24"/>
      <c r="J21" s="303"/>
      <c r="K21" s="35"/>
      <c r="L21" s="306"/>
      <c r="M21" s="306"/>
      <c r="N21" s="242">
        <f t="shared" ref="N21:N30" si="2">IF($D21="MWh/yr (LHV)",$E21,$J21*$E21*(1-$L21)/Conversion_kWh_to_MJ)</f>
        <v>0</v>
      </c>
      <c r="O21" s="12"/>
      <c r="S21" s="35" t="str">
        <f t="shared" ref="S21:S30" si="3">IF(B21="", "", IF(D21="MWh/yr (LHV)", "Use column to right", "Enter data here"))</f>
        <v>Use column to right</v>
      </c>
      <c r="T21" s="300" t="e">
        <f>Initial_questions!$E$43*1/Conversion_kWh_to_MJ</f>
        <v>#VALUE!</v>
      </c>
      <c r="U21" s="300" t="s">
        <v>1062</v>
      </c>
      <c r="V21" s="243" t="str">
        <f t="shared" ref="V21:V30" si="4">IFERROR(IF(D21="tonnes/yr", $S21*$E21/($N$9*3.6), $T21*$E21*3.6/($N$9*3.6)), "Unfilled fields to left")</f>
        <v>Unfilled fields to left</v>
      </c>
      <c r="X21" s="21"/>
      <c r="Y21" s="19"/>
    </row>
    <row r="22" spans="2:25">
      <c r="B22" s="186" t="s">
        <v>1021</v>
      </c>
      <c r="C22" s="184" t="s">
        <v>1125</v>
      </c>
      <c r="D22" s="179" t="s">
        <v>479</v>
      </c>
      <c r="E22" s="35"/>
      <c r="F22" s="24"/>
      <c r="G22" s="24"/>
      <c r="H22" s="24"/>
      <c r="I22" s="24"/>
      <c r="J22" s="300"/>
      <c r="K22" s="300"/>
      <c r="L22" s="302"/>
      <c r="M22" s="302"/>
      <c r="N22" s="242">
        <f t="shared" si="2"/>
        <v>0</v>
      </c>
      <c r="O22" s="12"/>
      <c r="S22" s="35" t="str">
        <f t="shared" si="3"/>
        <v>Use column to right</v>
      </c>
      <c r="T22" s="300" t="e">
        <f>Initial_questions!$E$43*1/Conversion_kWh_to_MJ</f>
        <v>#VALUE!</v>
      </c>
      <c r="U22" s="300" t="s">
        <v>1062</v>
      </c>
      <c r="V22" s="357" t="str">
        <f t="shared" si="4"/>
        <v>Unfilled fields to left</v>
      </c>
      <c r="X22" s="25"/>
      <c r="Y22" s="19"/>
    </row>
    <row r="23" spans="2:25">
      <c r="B23" s="186" t="s">
        <v>1021</v>
      </c>
      <c r="C23" s="184" t="s">
        <v>1126</v>
      </c>
      <c r="D23" s="179" t="s">
        <v>479</v>
      </c>
      <c r="E23" s="35"/>
      <c r="F23" s="24"/>
      <c r="G23" s="24"/>
      <c r="H23" s="24"/>
      <c r="I23" s="24"/>
      <c r="J23" s="300"/>
      <c r="K23" s="300"/>
      <c r="L23" s="302"/>
      <c r="M23" s="302"/>
      <c r="N23" s="242">
        <f t="shared" si="2"/>
        <v>0</v>
      </c>
      <c r="O23" s="55"/>
      <c r="S23" s="35" t="str">
        <f t="shared" si="3"/>
        <v>Use column to right</v>
      </c>
      <c r="T23" s="300" t="e">
        <f>Initial_questions!$E$43*1/Conversion_kWh_to_MJ</f>
        <v>#VALUE!</v>
      </c>
      <c r="U23" s="300" t="s">
        <v>1062</v>
      </c>
      <c r="V23" s="357" t="str">
        <f t="shared" si="4"/>
        <v>Unfilled fields to left</v>
      </c>
      <c r="X23" s="25"/>
      <c r="Y23" s="19"/>
    </row>
    <row r="24" spans="2:25">
      <c r="B24" s="186" t="s">
        <v>1021</v>
      </c>
      <c r="C24" s="184" t="s">
        <v>1039</v>
      </c>
      <c r="D24" s="179" t="s">
        <v>479</v>
      </c>
      <c r="E24" s="35"/>
      <c r="F24" s="82"/>
      <c r="G24" s="21"/>
      <c r="H24" s="20"/>
      <c r="I24" s="36"/>
      <c r="J24" s="300"/>
      <c r="K24" s="302"/>
      <c r="L24" s="306"/>
      <c r="M24" s="306"/>
      <c r="N24" s="242">
        <f t="shared" si="2"/>
        <v>0</v>
      </c>
      <c r="O24" s="19"/>
      <c r="P24" s="19"/>
      <c r="Q24" s="19"/>
      <c r="R24" s="19"/>
      <c r="S24" s="35" t="str">
        <f t="shared" si="3"/>
        <v>Use column to right</v>
      </c>
      <c r="T24" s="35" t="str">
        <f t="shared" ref="T24:T30" si="5">IF(B24="", "", IF(D24="MWh/yr (LHV)", "Enter data here", "Use column to left"))</f>
        <v>Enter data here</v>
      </c>
      <c r="U24" s="35" t="s">
        <v>1040</v>
      </c>
      <c r="V24" s="357" t="str">
        <f t="shared" si="4"/>
        <v>Unfilled fields to left</v>
      </c>
      <c r="X24" s="25"/>
      <c r="Y24" s="19"/>
    </row>
    <row r="25" spans="2:25">
      <c r="B25" s="186" t="s">
        <v>1021</v>
      </c>
      <c r="C25" s="184" t="s">
        <v>1041</v>
      </c>
      <c r="D25" s="179" t="s">
        <v>479</v>
      </c>
      <c r="E25" s="35"/>
      <c r="F25" s="21"/>
      <c r="G25" s="21"/>
      <c r="H25" s="20"/>
      <c r="I25" s="36"/>
      <c r="J25" s="300"/>
      <c r="K25" s="302"/>
      <c r="L25" s="306"/>
      <c r="M25" s="306"/>
      <c r="N25" s="242">
        <f t="shared" si="2"/>
        <v>0</v>
      </c>
      <c r="O25" s="19"/>
      <c r="P25" s="19"/>
      <c r="Q25" s="19"/>
      <c r="R25" s="19"/>
      <c r="S25" s="35" t="str">
        <f t="shared" si="3"/>
        <v>Use column to right</v>
      </c>
      <c r="T25" s="35" t="str">
        <f t="shared" si="5"/>
        <v>Enter data here</v>
      </c>
      <c r="U25" s="35" t="s">
        <v>1040</v>
      </c>
      <c r="V25" s="357" t="str">
        <f t="shared" si="4"/>
        <v>Unfilled fields to left</v>
      </c>
      <c r="X25" s="25"/>
      <c r="Y25" s="19"/>
    </row>
    <row r="26" spans="2:25">
      <c r="B26" s="186" t="s">
        <v>1042</v>
      </c>
      <c r="C26" s="184" t="s">
        <v>1043</v>
      </c>
      <c r="D26" s="179" t="s">
        <v>459</v>
      </c>
      <c r="E26" s="35"/>
      <c r="F26" s="21"/>
      <c r="G26" s="21"/>
      <c r="H26" s="21"/>
      <c r="I26" s="21"/>
      <c r="J26" s="306"/>
      <c r="K26" s="306"/>
      <c r="L26" s="302"/>
      <c r="M26" s="302"/>
      <c r="N26" s="242">
        <f t="shared" si="2"/>
        <v>0</v>
      </c>
      <c r="O26" s="19"/>
      <c r="P26" s="19"/>
      <c r="Q26" s="19"/>
      <c r="R26" s="19"/>
      <c r="S26" s="35" t="str">
        <f t="shared" si="3"/>
        <v>Enter data here</v>
      </c>
      <c r="T26" s="35" t="str">
        <f t="shared" si="5"/>
        <v>Use column to left</v>
      </c>
      <c r="U26" s="35" t="s">
        <v>1044</v>
      </c>
      <c r="V26" s="357" t="str">
        <f t="shared" si="4"/>
        <v>Unfilled fields to left</v>
      </c>
      <c r="X26" s="21"/>
      <c r="Y26" s="19"/>
    </row>
    <row r="27" spans="2:25">
      <c r="B27" s="186" t="s">
        <v>1042</v>
      </c>
      <c r="C27" s="184" t="s">
        <v>1045</v>
      </c>
      <c r="D27" s="179" t="s">
        <v>459</v>
      </c>
      <c r="E27" s="35"/>
      <c r="F27" s="21"/>
      <c r="G27" s="21"/>
      <c r="H27" s="21"/>
      <c r="I27" s="21"/>
      <c r="J27" s="306"/>
      <c r="K27" s="306"/>
      <c r="L27" s="302"/>
      <c r="M27" s="302"/>
      <c r="N27" s="242">
        <f t="shared" si="2"/>
        <v>0</v>
      </c>
      <c r="O27" s="19"/>
      <c r="P27" s="19"/>
      <c r="Q27" s="19"/>
      <c r="R27" s="19"/>
      <c r="S27" s="35" t="str">
        <f t="shared" si="3"/>
        <v>Enter data here</v>
      </c>
      <c r="T27" s="35" t="str">
        <f t="shared" si="5"/>
        <v>Use column to left</v>
      </c>
      <c r="U27" s="35" t="s">
        <v>1044</v>
      </c>
      <c r="V27" s="357" t="str">
        <f t="shared" si="4"/>
        <v>Unfilled fields to left</v>
      </c>
      <c r="X27" s="21"/>
      <c r="Y27" s="19"/>
    </row>
    <row r="28" spans="2:25">
      <c r="B28" s="186" t="s">
        <v>1042</v>
      </c>
      <c r="C28" s="184" t="s">
        <v>1046</v>
      </c>
      <c r="D28" s="179" t="s">
        <v>459</v>
      </c>
      <c r="E28" s="35"/>
      <c r="F28" s="21"/>
      <c r="G28" s="21"/>
      <c r="H28" s="21"/>
      <c r="I28" s="21"/>
      <c r="J28" s="306"/>
      <c r="K28" s="306"/>
      <c r="L28" s="302"/>
      <c r="M28" s="302"/>
      <c r="N28" s="242">
        <f t="shared" si="2"/>
        <v>0</v>
      </c>
      <c r="O28" s="19"/>
      <c r="P28" s="19"/>
      <c r="Q28" s="19"/>
      <c r="R28" s="19"/>
      <c r="S28" s="35" t="str">
        <f t="shared" si="3"/>
        <v>Enter data here</v>
      </c>
      <c r="T28" s="35" t="str">
        <f t="shared" si="5"/>
        <v>Use column to left</v>
      </c>
      <c r="U28" s="35" t="s">
        <v>1044</v>
      </c>
      <c r="V28" s="357" t="str">
        <f t="shared" si="4"/>
        <v>Unfilled fields to left</v>
      </c>
      <c r="X28" s="21"/>
      <c r="Y28" s="19"/>
    </row>
    <row r="29" spans="2:25">
      <c r="B29" s="16"/>
      <c r="C29" s="15"/>
      <c r="D29" s="179"/>
      <c r="E29" s="35"/>
      <c r="F29" s="21"/>
      <c r="G29" s="21"/>
      <c r="H29" s="20"/>
      <c r="I29" s="36"/>
      <c r="J29" s="300"/>
      <c r="K29" s="302"/>
      <c r="L29" s="302"/>
      <c r="M29" s="302"/>
      <c r="N29" s="242">
        <f t="shared" si="2"/>
        <v>0</v>
      </c>
      <c r="O29" s="19"/>
      <c r="P29" s="19"/>
      <c r="Q29" s="19"/>
      <c r="R29" s="19"/>
      <c r="S29" s="35" t="str">
        <f t="shared" si="3"/>
        <v/>
      </c>
      <c r="T29" s="35" t="str">
        <f t="shared" si="5"/>
        <v/>
      </c>
      <c r="U29" s="35"/>
      <c r="V29" s="357" t="str">
        <f t="shared" si="4"/>
        <v>Unfilled fields to left</v>
      </c>
      <c r="X29" s="25"/>
      <c r="Y29" s="19"/>
    </row>
    <row r="30" spans="2:25">
      <c r="B30" s="16"/>
      <c r="C30" s="15"/>
      <c r="D30" s="179"/>
      <c r="E30" s="35"/>
      <c r="F30" s="21"/>
      <c r="G30" s="21"/>
      <c r="H30" s="20"/>
      <c r="I30" s="36"/>
      <c r="J30" s="300"/>
      <c r="K30" s="302"/>
      <c r="L30" s="302"/>
      <c r="M30" s="302"/>
      <c r="N30" s="242">
        <f t="shared" si="2"/>
        <v>0</v>
      </c>
      <c r="O30" s="19"/>
      <c r="P30" s="19"/>
      <c r="Q30" s="19"/>
      <c r="R30" s="19"/>
      <c r="S30" s="35" t="str">
        <f t="shared" si="3"/>
        <v/>
      </c>
      <c r="T30" s="35" t="str">
        <f t="shared" si="5"/>
        <v/>
      </c>
      <c r="U30" s="35"/>
      <c r="V30" s="357" t="str">
        <f t="shared" si="4"/>
        <v>Unfilled fields to left</v>
      </c>
      <c r="X30" s="25"/>
      <c r="Y30" s="19"/>
    </row>
    <row r="31" spans="2:25">
      <c r="C31" s="262"/>
      <c r="D31" s="262"/>
      <c r="E31" s="509"/>
      <c r="F31" s="79"/>
      <c r="G31" s="79"/>
      <c r="H31" s="260"/>
      <c r="I31" s="255"/>
      <c r="J31" s="482"/>
      <c r="K31" s="254"/>
      <c r="L31" s="73"/>
      <c r="M31" s="73"/>
      <c r="N31" s="73"/>
      <c r="O31" s="12"/>
      <c r="S31" s="482"/>
      <c r="T31" s="254"/>
      <c r="U31" s="254"/>
      <c r="V31" s="254"/>
      <c r="X31" s="253"/>
      <c r="Y31" s="19"/>
    </row>
    <row r="32" spans="2:25" ht="31">
      <c r="B32" s="80" t="str">
        <f>IF(AND(GHG_ROG_REFORM_CCS!$D$10="Default",Master_Switch="On"),"Default data selected for the emissions category below, move to the next emissions category within this step","")</f>
        <v/>
      </c>
      <c r="C32" s="262"/>
      <c r="D32" s="262"/>
      <c r="E32" s="509"/>
      <c r="F32" s="79"/>
      <c r="G32" s="79"/>
      <c r="H32" s="260"/>
      <c r="I32" s="255"/>
      <c r="J32" s="482"/>
      <c r="K32" s="254"/>
      <c r="L32" s="73"/>
      <c r="M32" s="73"/>
      <c r="N32" s="73"/>
      <c r="O32" s="12"/>
      <c r="S32" s="482"/>
      <c r="T32" s="254"/>
      <c r="U32" s="254"/>
      <c r="V32" s="254"/>
      <c r="X32" s="253"/>
      <c r="Y32" s="19"/>
    </row>
    <row r="33" spans="2:25" ht="16.5">
      <c r="B33" s="145" t="s">
        <v>1127</v>
      </c>
      <c r="C33" s="252"/>
      <c r="D33" s="252"/>
      <c r="E33" s="510"/>
      <c r="F33" s="251"/>
      <c r="G33" s="251"/>
      <c r="H33" s="250"/>
      <c r="I33" s="249"/>
      <c r="J33" s="487"/>
      <c r="K33" s="488"/>
      <c r="L33" s="476"/>
      <c r="M33" s="476"/>
      <c r="N33" s="476"/>
      <c r="O33" s="158"/>
      <c r="P33" s="158"/>
      <c r="Q33" s="158"/>
      <c r="R33" s="158"/>
      <c r="S33" s="487"/>
      <c r="T33" s="488"/>
      <c r="U33" s="488"/>
      <c r="V33" s="153">
        <f>SUM(V34:V43)</f>
        <v>0</v>
      </c>
      <c r="X33" s="253"/>
      <c r="Y33" s="19"/>
    </row>
    <row r="34" spans="2:25">
      <c r="B34" s="186" t="s">
        <v>1048</v>
      </c>
      <c r="C34" s="184" t="s">
        <v>1128</v>
      </c>
      <c r="D34" s="179" t="s">
        <v>459</v>
      </c>
      <c r="E34" s="35"/>
      <c r="F34" s="21"/>
      <c r="G34" s="21"/>
      <c r="H34" s="21"/>
      <c r="I34" s="21"/>
      <c r="J34" s="306"/>
      <c r="K34" s="306"/>
      <c r="L34" s="306"/>
      <c r="M34" s="306"/>
      <c r="N34" s="242">
        <f t="shared" ref="N34:N43" si="6">IF($D34="MWh/yr (LHV)",$E34,$J34*$E34*(1-$L34)/Conversion_kWh_to_MJ)</f>
        <v>0</v>
      </c>
      <c r="O34" s="12"/>
      <c r="S34" s="35" t="s">
        <v>1129</v>
      </c>
      <c r="T34" s="35" t="s">
        <v>1130</v>
      </c>
      <c r="U34" s="35" t="s">
        <v>1050</v>
      </c>
      <c r="V34" s="242" t="str">
        <f t="shared" ref="V34:V43" si="7">IFERROR(IF(D34="tonnes/yr", $S34*$E34/($N$9*3.6), $T34*$E34*3.6/($N$9*3.6)), "Unfilled fields to left")</f>
        <v>Unfilled fields to left</v>
      </c>
      <c r="X34" s="21"/>
      <c r="Y34" s="19"/>
    </row>
    <row r="35" spans="2:25">
      <c r="B35" s="186" t="s">
        <v>1051</v>
      </c>
      <c r="C35" s="184" t="s">
        <v>1010</v>
      </c>
      <c r="D35" s="179" t="s">
        <v>459</v>
      </c>
      <c r="E35" s="35"/>
      <c r="F35" s="21"/>
      <c r="G35" s="21"/>
      <c r="H35" s="20"/>
      <c r="I35" s="36"/>
      <c r="J35" s="300"/>
      <c r="K35" s="302"/>
      <c r="L35" s="302"/>
      <c r="M35" s="302"/>
      <c r="N35" s="242">
        <f t="shared" si="6"/>
        <v>0</v>
      </c>
      <c r="O35" s="12"/>
      <c r="S35" s="35" t="s">
        <v>1129</v>
      </c>
      <c r="T35" s="35" t="s">
        <v>1130</v>
      </c>
      <c r="U35" s="35" t="s">
        <v>1050</v>
      </c>
      <c r="V35" s="242" t="str">
        <f t="shared" si="7"/>
        <v>Unfilled fields to left</v>
      </c>
      <c r="X35" s="25"/>
      <c r="Y35" s="19"/>
    </row>
    <row r="36" spans="2:25">
      <c r="B36" s="186" t="s">
        <v>1051</v>
      </c>
      <c r="C36" s="184" t="s">
        <v>1053</v>
      </c>
      <c r="D36" s="179" t="s">
        <v>459</v>
      </c>
      <c r="E36" s="35"/>
      <c r="F36" s="21"/>
      <c r="G36" s="21"/>
      <c r="H36" s="20"/>
      <c r="I36" s="36"/>
      <c r="J36" s="300"/>
      <c r="K36" s="302"/>
      <c r="L36" s="302"/>
      <c r="M36" s="302"/>
      <c r="N36" s="242">
        <f t="shared" si="6"/>
        <v>0</v>
      </c>
      <c r="O36" s="12"/>
      <c r="S36" s="35" t="s">
        <v>1129</v>
      </c>
      <c r="T36" s="35" t="s">
        <v>1130</v>
      </c>
      <c r="U36" s="35" t="s">
        <v>1050</v>
      </c>
      <c r="V36" s="242" t="str">
        <f t="shared" si="7"/>
        <v>Unfilled fields to left</v>
      </c>
      <c r="X36" s="25"/>
      <c r="Y36" s="19"/>
    </row>
    <row r="37" spans="2:25">
      <c r="B37" s="186" t="s">
        <v>1051</v>
      </c>
      <c r="C37" s="184"/>
      <c r="D37" s="179"/>
      <c r="E37" s="35"/>
      <c r="F37" s="21"/>
      <c r="G37" s="21"/>
      <c r="H37" s="20"/>
      <c r="I37" s="36"/>
      <c r="J37" s="300"/>
      <c r="K37" s="302"/>
      <c r="L37" s="302"/>
      <c r="M37" s="302"/>
      <c r="N37" s="242">
        <f t="shared" si="6"/>
        <v>0</v>
      </c>
      <c r="O37" s="12"/>
      <c r="S37" s="35" t="s">
        <v>1129</v>
      </c>
      <c r="T37" s="35" t="s">
        <v>1130</v>
      </c>
      <c r="U37" s="35" t="s">
        <v>1050</v>
      </c>
      <c r="V37" s="242" t="str">
        <f t="shared" si="7"/>
        <v>Unfilled fields to left</v>
      </c>
      <c r="X37" s="25"/>
      <c r="Y37" s="19"/>
    </row>
    <row r="38" spans="2:25">
      <c r="B38" s="186" t="s">
        <v>1054</v>
      </c>
      <c r="C38" s="184" t="s">
        <v>1055</v>
      </c>
      <c r="D38" s="179" t="s">
        <v>459</v>
      </c>
      <c r="E38" s="35"/>
      <c r="F38" s="21"/>
      <c r="G38" s="21"/>
      <c r="H38" s="20"/>
      <c r="I38" s="36"/>
      <c r="J38" s="300"/>
      <c r="K38" s="302"/>
      <c r="L38" s="302"/>
      <c r="M38" s="302"/>
      <c r="N38" s="242">
        <f t="shared" si="6"/>
        <v>0</v>
      </c>
      <c r="O38" s="12"/>
      <c r="S38" s="35" t="s">
        <v>1129</v>
      </c>
      <c r="T38" s="35" t="s">
        <v>1130</v>
      </c>
      <c r="U38" s="35" t="s">
        <v>1050</v>
      </c>
      <c r="V38" s="242" t="str">
        <f t="shared" si="7"/>
        <v>Unfilled fields to left</v>
      </c>
      <c r="X38" s="25"/>
      <c r="Y38" s="19"/>
    </row>
    <row r="39" spans="2:25">
      <c r="B39" s="186" t="s">
        <v>1054</v>
      </c>
      <c r="C39" s="184"/>
      <c r="D39" s="179"/>
      <c r="E39" s="35"/>
      <c r="F39" s="21"/>
      <c r="G39" s="21"/>
      <c r="H39" s="20"/>
      <c r="I39" s="36"/>
      <c r="J39" s="300"/>
      <c r="K39" s="302"/>
      <c r="L39" s="302"/>
      <c r="M39" s="302"/>
      <c r="N39" s="242">
        <f t="shared" si="6"/>
        <v>0</v>
      </c>
      <c r="O39" s="12"/>
      <c r="S39" s="35" t="s">
        <v>1129</v>
      </c>
      <c r="T39" s="35" t="s">
        <v>1130</v>
      </c>
      <c r="U39" s="35" t="s">
        <v>1050</v>
      </c>
      <c r="V39" s="242" t="str">
        <f t="shared" si="7"/>
        <v>Unfilled fields to left</v>
      </c>
      <c r="X39" s="25"/>
      <c r="Y39" s="19"/>
    </row>
    <row r="40" spans="2:25">
      <c r="B40" s="16"/>
      <c r="C40" s="15"/>
      <c r="D40" s="179"/>
      <c r="E40" s="35"/>
      <c r="F40" s="21"/>
      <c r="G40" s="21"/>
      <c r="H40" s="20"/>
      <c r="I40" s="36"/>
      <c r="J40" s="300"/>
      <c r="K40" s="302"/>
      <c r="L40" s="302"/>
      <c r="M40" s="302"/>
      <c r="N40" s="242">
        <f t="shared" si="6"/>
        <v>0</v>
      </c>
      <c r="O40" s="12"/>
      <c r="S40" s="300"/>
      <c r="T40" s="302"/>
      <c r="U40" s="302"/>
      <c r="V40" s="242" t="str">
        <f t="shared" si="7"/>
        <v>Unfilled fields to left</v>
      </c>
      <c r="X40" s="25"/>
      <c r="Y40" s="19"/>
    </row>
    <row r="41" spans="2:25">
      <c r="B41" s="16"/>
      <c r="C41" s="15"/>
      <c r="D41" s="179"/>
      <c r="E41" s="35"/>
      <c r="F41" s="21"/>
      <c r="G41" s="21"/>
      <c r="H41" s="20"/>
      <c r="I41" s="36"/>
      <c r="J41" s="300"/>
      <c r="K41" s="302"/>
      <c r="L41" s="302"/>
      <c r="M41" s="302"/>
      <c r="N41" s="242">
        <f t="shared" si="6"/>
        <v>0</v>
      </c>
      <c r="O41" s="12"/>
      <c r="S41" s="300"/>
      <c r="T41" s="302"/>
      <c r="U41" s="302"/>
      <c r="V41" s="242" t="str">
        <f t="shared" si="7"/>
        <v>Unfilled fields to left</v>
      </c>
      <c r="X41" s="25"/>
      <c r="Y41" s="19"/>
    </row>
    <row r="42" spans="2:25">
      <c r="B42" s="16"/>
      <c r="C42" s="15"/>
      <c r="D42" s="179"/>
      <c r="E42" s="35"/>
      <c r="F42" s="21"/>
      <c r="G42" s="21"/>
      <c r="H42" s="20"/>
      <c r="I42" s="36"/>
      <c r="J42" s="300"/>
      <c r="K42" s="302"/>
      <c r="L42" s="302"/>
      <c r="M42" s="302"/>
      <c r="N42" s="242">
        <f t="shared" si="6"/>
        <v>0</v>
      </c>
      <c r="O42" s="12"/>
      <c r="S42" s="300"/>
      <c r="T42" s="302"/>
      <c r="U42" s="302"/>
      <c r="V42" s="242" t="str">
        <f t="shared" si="7"/>
        <v>Unfilled fields to left</v>
      </c>
      <c r="X42" s="25"/>
      <c r="Y42" s="19"/>
    </row>
    <row r="43" spans="2:25">
      <c r="B43" s="16"/>
      <c r="C43" s="15"/>
      <c r="D43" s="179"/>
      <c r="E43" s="35"/>
      <c r="F43" s="21"/>
      <c r="G43" s="21"/>
      <c r="H43" s="20"/>
      <c r="I43" s="36"/>
      <c r="J43" s="300"/>
      <c r="K43" s="302"/>
      <c r="L43" s="302"/>
      <c r="M43" s="302"/>
      <c r="N43" s="242">
        <f t="shared" si="6"/>
        <v>0</v>
      </c>
      <c r="O43" s="12"/>
      <c r="S43" s="300"/>
      <c r="T43" s="302"/>
      <c r="U43" s="302"/>
      <c r="V43" s="242" t="str">
        <f t="shared" si="7"/>
        <v>Unfilled fields to left</v>
      </c>
      <c r="X43" s="25"/>
      <c r="Y43" s="19"/>
    </row>
    <row r="44" spans="2:25">
      <c r="B44" s="14"/>
      <c r="C44" s="83"/>
      <c r="D44" s="83"/>
      <c r="E44" s="498"/>
      <c r="F44" s="84"/>
      <c r="G44" s="85"/>
      <c r="H44" s="86"/>
      <c r="I44" s="86"/>
      <c r="J44" s="87"/>
      <c r="K44" s="87"/>
      <c r="L44" s="87"/>
      <c r="M44" s="87"/>
      <c r="N44" s="87"/>
      <c r="O44" s="28"/>
      <c r="P44" s="14"/>
      <c r="Q44" s="14"/>
      <c r="R44" s="14"/>
      <c r="S44" s="87"/>
      <c r="T44" s="87"/>
      <c r="U44" s="87"/>
      <c r="V44" s="87"/>
      <c r="X44" s="248"/>
      <c r="Y44" s="19"/>
    </row>
    <row r="45" spans="2:25" s="14" customFormat="1" ht="16.5">
      <c r="B45" s="145" t="s">
        <v>1131</v>
      </c>
      <c r="C45" s="159"/>
      <c r="D45" s="159"/>
      <c r="E45" s="499"/>
      <c r="F45" s="160"/>
      <c r="G45" s="161"/>
      <c r="H45" s="160"/>
      <c r="I45" s="160"/>
      <c r="J45" s="307"/>
      <c r="K45" s="307"/>
      <c r="L45" s="476"/>
      <c r="M45" s="476"/>
      <c r="N45" s="476"/>
      <c r="O45" s="158"/>
      <c r="P45" s="158"/>
      <c r="Q45" s="158"/>
      <c r="R45" s="158"/>
      <c r="S45" s="307"/>
      <c r="T45" s="307"/>
      <c r="U45" s="307"/>
      <c r="V45" s="153">
        <f>SUM(V46:V50)</f>
        <v>0</v>
      </c>
      <c r="X45" s="79"/>
    </row>
    <row r="46" spans="2:25" s="14" customFormat="1">
      <c r="B46" s="16" t="s">
        <v>1057</v>
      </c>
      <c r="C46" s="184" t="s">
        <v>1132</v>
      </c>
      <c r="D46" s="179" t="s">
        <v>459</v>
      </c>
      <c r="E46" s="35"/>
      <c r="F46" s="24"/>
      <c r="G46" s="24"/>
      <c r="H46" s="24"/>
      <c r="I46" s="24"/>
      <c r="J46" s="35"/>
      <c r="K46" s="35"/>
      <c r="L46" s="306"/>
      <c r="M46" s="306"/>
      <c r="N46" s="242">
        <f>IF($D46="MWh/yr (LHV)",$E46,$J46*$E46*(1-$L46)/Conversion_kWh_to_MJ)</f>
        <v>0</v>
      </c>
      <c r="O46" s="12"/>
      <c r="P46" s="12"/>
      <c r="Q46" s="12"/>
      <c r="R46" s="12"/>
      <c r="S46" s="300">
        <v>1000</v>
      </c>
      <c r="T46" s="477"/>
      <c r="U46" s="35" t="s">
        <v>1110</v>
      </c>
      <c r="V46" s="242" t="str">
        <f>IFERROR(IF(D46="tonnes/yr", $S46*$E46/($N$9*3.6), $T46*$E46*3.6/($N$9*3.6)), "Unfilled fields to left")</f>
        <v>Unfilled fields to left</v>
      </c>
      <c r="W46" s="112"/>
      <c r="X46" s="21"/>
    </row>
    <row r="47" spans="2:25" s="14" customFormat="1">
      <c r="B47" s="16" t="s">
        <v>1057</v>
      </c>
      <c r="C47" s="15"/>
      <c r="D47" s="179"/>
      <c r="E47" s="35"/>
      <c r="F47" s="63"/>
      <c r="G47" s="63"/>
      <c r="H47" s="63"/>
      <c r="I47" s="63"/>
      <c r="J47" s="304"/>
      <c r="K47" s="306"/>
      <c r="L47" s="306"/>
      <c r="M47" s="306"/>
      <c r="N47" s="242">
        <f>IF($D47="MWh/yr (LHV)",$E47,$J47*$E47*(1-$L47)/Conversion_kWh_to_MJ)</f>
        <v>0</v>
      </c>
      <c r="O47" s="12"/>
      <c r="P47" s="12"/>
      <c r="Q47" s="12"/>
      <c r="R47" s="12"/>
      <c r="S47" s="302"/>
      <c r="T47" s="477"/>
      <c r="U47" s="302"/>
      <c r="V47" s="242" t="str">
        <f>IFERROR(IF(D47="tonnes/yr", $S47*$E47/($N$9*3.6), $T47*$E47*3.6/($N$9*3.6)), "Unfilled fields to left")</f>
        <v>Unfilled fields to left</v>
      </c>
      <c r="X47" s="21"/>
    </row>
    <row r="48" spans="2:25" s="14" customFormat="1">
      <c r="B48" s="64"/>
      <c r="C48" s="15"/>
      <c r="D48" s="179"/>
      <c r="E48" s="35"/>
      <c r="F48" s="21"/>
      <c r="G48" s="21"/>
      <c r="H48" s="63"/>
      <c r="I48" s="63"/>
      <c r="J48" s="304"/>
      <c r="K48" s="306"/>
      <c r="L48" s="306"/>
      <c r="M48" s="306"/>
      <c r="N48" s="242">
        <f>IF($D48="MWh/yr (LHV)",$E48,$J48*$E48*(1-$L48)/Conversion_kWh_to_MJ)</f>
        <v>0</v>
      </c>
      <c r="O48" s="19"/>
      <c r="P48" s="19"/>
      <c r="Q48" s="19"/>
      <c r="R48" s="19"/>
      <c r="S48" s="308"/>
      <c r="T48" s="477"/>
      <c r="U48" s="302"/>
      <c r="V48" s="242" t="str">
        <f>IFERROR(IF(D48="tonnes/yr", $S48*$E48/($N$9*3.6), $T48*$E48*3.6/($N$9*3.6)), "Unfilled fields to left")</f>
        <v>Unfilled fields to left</v>
      </c>
      <c r="X48" s="65"/>
    </row>
    <row r="49" spans="2:25" s="14" customFormat="1">
      <c r="B49" s="64"/>
      <c r="C49" s="15"/>
      <c r="D49" s="179"/>
      <c r="E49" s="35"/>
      <c r="F49" s="21"/>
      <c r="G49" s="21"/>
      <c r="H49" s="21"/>
      <c r="I49" s="21"/>
      <c r="J49" s="306"/>
      <c r="K49" s="306"/>
      <c r="L49" s="306"/>
      <c r="M49" s="306"/>
      <c r="N49" s="242">
        <f>IF($D49="MWh/yr (LHV)",$E49,$J49*$E49*(1-$L49)/Conversion_kWh_to_MJ)</f>
        <v>0</v>
      </c>
      <c r="O49" s="19"/>
      <c r="P49" s="19"/>
      <c r="Q49" s="19"/>
      <c r="R49" s="19"/>
      <c r="S49" s="308"/>
      <c r="T49" s="477"/>
      <c r="U49" s="302"/>
      <c r="V49" s="242" t="str">
        <f>IFERROR(IF(D49="tonnes/yr", $S49*$E49/($N$9*3.6), $T49*$E49*3.6/($N$9*3.6)), "Unfilled fields to left")</f>
        <v>Unfilled fields to left</v>
      </c>
      <c r="X49" s="65"/>
    </row>
    <row r="50" spans="2:25" s="14" customFormat="1">
      <c r="B50" s="64"/>
      <c r="C50" s="15"/>
      <c r="D50" s="179"/>
      <c r="E50" s="35"/>
      <c r="F50" s="21"/>
      <c r="G50" s="21"/>
      <c r="H50" s="21"/>
      <c r="I50" s="21"/>
      <c r="J50" s="306"/>
      <c r="K50" s="306"/>
      <c r="L50" s="306"/>
      <c r="M50" s="306"/>
      <c r="N50" s="242">
        <f>IF($D50="MWh/yr (LHV)",$E50,$J50*$E50*(1-$L50)/Conversion_kWh_to_MJ)</f>
        <v>0</v>
      </c>
      <c r="O50" s="19"/>
      <c r="P50" s="19"/>
      <c r="Q50" s="19"/>
      <c r="R50" s="19"/>
      <c r="S50" s="308"/>
      <c r="T50" s="477"/>
      <c r="U50" s="302"/>
      <c r="V50" s="242" t="str">
        <f>IFERROR(IF(D50="tonnes/yr", $S50*$E50/($N$9*3.6), $T50*$E50*3.6/($N$9*3.6)), "Unfilled fields to left")</f>
        <v>Unfilled fields to left</v>
      </c>
      <c r="X50" s="65"/>
    </row>
    <row r="51" spans="2:25">
      <c r="B51" s="14"/>
      <c r="C51" s="83"/>
      <c r="D51" s="83"/>
      <c r="E51" s="498"/>
      <c r="F51" s="84"/>
      <c r="G51" s="85"/>
      <c r="H51" s="86"/>
      <c r="I51" s="86"/>
      <c r="J51" s="87"/>
      <c r="K51" s="87"/>
      <c r="L51" s="142"/>
      <c r="M51" s="142"/>
      <c r="N51" s="73"/>
      <c r="O51" s="19"/>
      <c r="P51" s="19"/>
      <c r="Q51" s="19"/>
      <c r="R51" s="19"/>
      <c r="S51" s="87"/>
      <c r="T51" s="87"/>
      <c r="U51" s="87"/>
      <c r="V51" s="87"/>
      <c r="X51" s="248"/>
      <c r="Y51" s="19"/>
    </row>
    <row r="52" spans="2:25" ht="16.5">
      <c r="B52" s="145" t="s">
        <v>1060</v>
      </c>
      <c r="C52" s="252"/>
      <c r="D52" s="252"/>
      <c r="E52" s="510"/>
      <c r="F52" s="251"/>
      <c r="G52" s="251"/>
      <c r="H52" s="250"/>
      <c r="I52" s="249"/>
      <c r="J52" s="487"/>
      <c r="K52" s="488"/>
      <c r="L52" s="476"/>
      <c r="M52" s="476"/>
      <c r="N52" s="476"/>
      <c r="O52" s="158"/>
      <c r="P52" s="158"/>
      <c r="Q52" s="158"/>
      <c r="R52" s="158"/>
      <c r="S52" s="487"/>
      <c r="T52" s="488"/>
      <c r="U52" s="488"/>
      <c r="V52" s="153">
        <f>SUM(V53:V58)</f>
        <v>0</v>
      </c>
      <c r="X52" s="253"/>
      <c r="Y52" s="19"/>
    </row>
    <row r="53" spans="2:25" s="14" customFormat="1">
      <c r="B53" s="186" t="s">
        <v>1021</v>
      </c>
      <c r="C53" s="184" t="s">
        <v>1061</v>
      </c>
      <c r="D53" s="179" t="s">
        <v>479</v>
      </c>
      <c r="E53" s="35"/>
      <c r="F53" s="24"/>
      <c r="G53" s="24"/>
      <c r="H53" s="24"/>
      <c r="I53" s="318"/>
      <c r="J53" s="300"/>
      <c r="K53" s="300"/>
      <c r="L53" s="306"/>
      <c r="M53" s="306"/>
      <c r="N53" s="242">
        <f t="shared" ref="N53:N58" si="8">IF($D53="MWh/yr (LHV)",$E53,$J53*$E53*(1-$L53)/Conversion_kWh_to_MJ)</f>
        <v>0</v>
      </c>
      <c r="O53" s="19"/>
      <c r="P53" s="19"/>
      <c r="Q53" s="19"/>
      <c r="R53" s="19"/>
      <c r="S53" s="300" t="str">
        <f>IF(B53="", "", IF(D53="MWh/yr (LHV)", "Use column to right", "Enter data here"))</f>
        <v>Use column to right</v>
      </c>
      <c r="T53" s="300" t="e">
        <f>Initial_questions!$E$43*1/Conversion_kWh_to_MJ</f>
        <v>#VALUE!</v>
      </c>
      <c r="U53" s="35" t="s">
        <v>1062</v>
      </c>
      <c r="V53" s="242" t="str">
        <f t="shared" ref="V53:V58" si="9">IFERROR(IF(D53="tonnes/yr", $S53*$E53/($N$9*3.6), $T53*$E53*3.6/($N$9*3.6)), "Unfilled fields to left")</f>
        <v>Unfilled fields to left</v>
      </c>
      <c r="X53" s="21"/>
    </row>
    <row r="54" spans="2:25" s="14" customFormat="1">
      <c r="B54" s="186" t="s">
        <v>1021</v>
      </c>
      <c r="C54" s="184" t="s">
        <v>1063</v>
      </c>
      <c r="D54" s="179" t="s">
        <v>479</v>
      </c>
      <c r="E54" s="35"/>
      <c r="F54" s="24"/>
      <c r="G54" s="24"/>
      <c r="H54" s="24"/>
      <c r="I54" s="24"/>
      <c r="J54" s="300"/>
      <c r="K54" s="300"/>
      <c r="L54" s="306"/>
      <c r="M54" s="306"/>
      <c r="N54" s="242">
        <f t="shared" si="8"/>
        <v>0</v>
      </c>
      <c r="O54" s="19"/>
      <c r="P54" s="19"/>
      <c r="Q54" s="19"/>
      <c r="R54" s="19"/>
      <c r="S54" s="300" t="str">
        <f>IF(B54="", "", IF(D54="MWh/yr (LHV)", "Use column to right", "Enter data here"))</f>
        <v>Use column to right</v>
      </c>
      <c r="T54" s="300" t="e">
        <f>INDEX(Proj_grid_intensity_kWh,MATCH(Operations_year,Proj_grid_year,0))/Conversion_kWh_to_MJ</f>
        <v>#N/A</v>
      </c>
      <c r="U54" s="35" t="s">
        <v>1064</v>
      </c>
      <c r="V54" s="242" t="str">
        <f t="shared" si="9"/>
        <v>Unfilled fields to left</v>
      </c>
      <c r="X54" s="65"/>
    </row>
    <row r="55" spans="2:25" s="14" customFormat="1">
      <c r="B55" s="186" t="s">
        <v>1021</v>
      </c>
      <c r="C55" s="184" t="s">
        <v>1065</v>
      </c>
      <c r="D55" s="179" t="s">
        <v>459</v>
      </c>
      <c r="E55" s="35"/>
      <c r="F55" s="24"/>
      <c r="G55" s="24"/>
      <c r="H55" s="24"/>
      <c r="I55" s="24"/>
      <c r="J55" s="300"/>
      <c r="K55" s="300"/>
      <c r="L55" s="306"/>
      <c r="M55" s="306"/>
      <c r="N55" s="242">
        <f t="shared" si="8"/>
        <v>0</v>
      </c>
      <c r="O55" s="19"/>
      <c r="P55" s="19"/>
      <c r="Q55" s="19"/>
      <c r="R55" s="19"/>
      <c r="S55" s="300" t="str">
        <f>IF(B55="", "", IF(D55="MWh/yr (LHV)", "Use column to right", "Enter data here"))</f>
        <v>Enter data here</v>
      </c>
      <c r="T55" s="300" t="str">
        <f>IF(B55="", "", IF(D55="MWh/yr (LHV)", "Enter data here", "Use column to left"))</f>
        <v>Use column to left</v>
      </c>
      <c r="U55" s="35" t="s">
        <v>1066</v>
      </c>
      <c r="V55" s="242" t="str">
        <f t="shared" si="9"/>
        <v>Unfilled fields to left</v>
      </c>
      <c r="X55" s="65"/>
    </row>
    <row r="56" spans="2:25">
      <c r="B56" s="186" t="s">
        <v>1021</v>
      </c>
      <c r="C56" s="184" t="s">
        <v>1067</v>
      </c>
      <c r="D56" s="179" t="s">
        <v>459</v>
      </c>
      <c r="E56" s="35"/>
      <c r="F56" s="21"/>
      <c r="G56" s="21"/>
      <c r="H56" s="21"/>
      <c r="I56" s="21"/>
      <c r="J56" s="306"/>
      <c r="K56" s="306"/>
      <c r="L56" s="306"/>
      <c r="M56" s="306"/>
      <c r="N56" s="242">
        <f t="shared" si="8"/>
        <v>0</v>
      </c>
      <c r="O56" s="12"/>
      <c r="S56" s="300" t="str">
        <f>IF(B56="", "", IF(D56="MWh/yr (LHV)", "Use column to right", "Enter data here"))</f>
        <v>Enter data here</v>
      </c>
      <c r="T56" s="300" t="str">
        <f>IF(B56="", "", IF(D56="MWh/yr (LHV)", "Enter data here", "Use column to left"))</f>
        <v>Use column to left</v>
      </c>
      <c r="U56" s="35" t="s">
        <v>1066</v>
      </c>
      <c r="V56" s="242" t="str">
        <f t="shared" si="9"/>
        <v>Unfilled fields to left</v>
      </c>
      <c r="X56" s="21"/>
      <c r="Y56" s="19"/>
    </row>
    <row r="57" spans="2:25">
      <c r="B57" s="186" t="s">
        <v>1021</v>
      </c>
      <c r="C57" s="184" t="s">
        <v>1068</v>
      </c>
      <c r="D57" s="179" t="s">
        <v>479</v>
      </c>
      <c r="E57" s="35"/>
      <c r="F57" s="21"/>
      <c r="G57" s="21"/>
      <c r="H57" s="21"/>
      <c r="I57" s="21"/>
      <c r="J57" s="306"/>
      <c r="K57" s="306"/>
      <c r="L57" s="306"/>
      <c r="M57" s="306"/>
      <c r="N57" s="242">
        <f t="shared" si="8"/>
        <v>0</v>
      </c>
      <c r="O57" s="12"/>
      <c r="S57" s="300" t="str">
        <f>IF(B57="", "", IF(D57="MWh/yr (LHV)", "Use column to right", "Enter data here"))</f>
        <v>Use column to right</v>
      </c>
      <c r="T57" s="300" t="e">
        <f>INDEX(Proj_grid_intensity_kWh,MATCH(Operations_year,Proj_grid_year,0))/Conversion_kWh_to_MJ</f>
        <v>#N/A</v>
      </c>
      <c r="U57" s="35" t="s">
        <v>1064</v>
      </c>
      <c r="V57" s="242" t="str">
        <f t="shared" si="9"/>
        <v>Unfilled fields to left</v>
      </c>
      <c r="X57" s="21"/>
      <c r="Y57" s="19"/>
    </row>
    <row r="58" spans="2:25">
      <c r="B58" s="16"/>
      <c r="C58" s="15"/>
      <c r="D58" s="179"/>
      <c r="E58" s="35"/>
      <c r="F58" s="21"/>
      <c r="G58" s="21"/>
      <c r="H58" s="21"/>
      <c r="I58" s="21"/>
      <c r="J58" s="306"/>
      <c r="K58" s="306"/>
      <c r="L58" s="306"/>
      <c r="M58" s="306"/>
      <c r="N58" s="242">
        <f t="shared" si="8"/>
        <v>0</v>
      </c>
      <c r="O58" s="12"/>
      <c r="S58" s="302"/>
      <c r="T58" s="302"/>
      <c r="U58" s="302"/>
      <c r="V58" s="242" t="str">
        <f t="shared" si="9"/>
        <v>Unfilled fields to left</v>
      </c>
      <c r="X58" s="21"/>
      <c r="Y58" s="19"/>
    </row>
    <row r="59" spans="2:25" s="14" customFormat="1">
      <c r="B59" s="78"/>
      <c r="C59" s="262"/>
      <c r="D59" s="262"/>
      <c r="E59" s="496"/>
      <c r="F59" s="79"/>
      <c r="G59" s="79"/>
      <c r="H59" s="260"/>
      <c r="I59" s="260"/>
      <c r="J59" s="254"/>
      <c r="K59" s="254"/>
      <c r="L59" s="73"/>
      <c r="M59" s="73"/>
      <c r="N59" s="73"/>
      <c r="O59" s="12"/>
      <c r="P59" s="12"/>
      <c r="Q59" s="12"/>
      <c r="R59" s="12"/>
      <c r="S59" s="254"/>
      <c r="T59" s="254"/>
      <c r="U59" s="254"/>
      <c r="V59" s="254"/>
      <c r="X59" s="79"/>
    </row>
    <row r="60" spans="2:25" s="14" customFormat="1" ht="16.5">
      <c r="B60" s="145" t="s">
        <v>1069</v>
      </c>
      <c r="C60" s="159"/>
      <c r="D60" s="159"/>
      <c r="E60" s="499"/>
      <c r="F60" s="160"/>
      <c r="G60" s="161"/>
      <c r="H60" s="160"/>
      <c r="I60" s="160"/>
      <c r="J60" s="307"/>
      <c r="K60" s="307"/>
      <c r="L60" s="476"/>
      <c r="M60" s="476"/>
      <c r="N60" s="476"/>
      <c r="O60" s="158"/>
      <c r="P60" s="158"/>
      <c r="Q60" s="158"/>
      <c r="R60" s="158"/>
      <c r="S60" s="307"/>
      <c r="T60" s="307"/>
      <c r="U60" s="307"/>
      <c r="V60" s="153">
        <f>SUM(V61:V65)</f>
        <v>0</v>
      </c>
      <c r="X60" s="79"/>
    </row>
    <row r="61" spans="2:25" s="14" customFormat="1">
      <c r="B61" s="16" t="s">
        <v>1070</v>
      </c>
      <c r="C61" s="184" t="s">
        <v>1133</v>
      </c>
      <c r="D61" s="179" t="s">
        <v>459</v>
      </c>
      <c r="E61" s="35">
        <f>E46*$E$80</f>
        <v>0</v>
      </c>
      <c r="F61" s="318"/>
      <c r="G61" s="318"/>
      <c r="H61" s="318"/>
      <c r="I61" s="318"/>
      <c r="J61" s="495"/>
      <c r="K61" s="35"/>
      <c r="L61" s="306"/>
      <c r="M61" s="306"/>
      <c r="N61" s="242">
        <f>IF($D61="MWh/yr (LHV)",$E61,$J61*$E61*(1-$L61)/Conversion_kWh_to_MJ)</f>
        <v>0</v>
      </c>
      <c r="O61" s="12"/>
      <c r="P61" s="12"/>
      <c r="Q61" s="12"/>
      <c r="R61" s="12"/>
      <c r="S61" s="300">
        <v>-1000</v>
      </c>
      <c r="T61" s="477"/>
      <c r="U61" s="35" t="s">
        <v>1134</v>
      </c>
      <c r="V61" s="242" t="str">
        <f>IFERROR(IF(D61="tonnes/yr", $S61*$E61/($N$9*3.6), $T61*$E61*3.6/($N$9*3.6)), "Unfilled fields to left")</f>
        <v>Unfilled fields to left</v>
      </c>
      <c r="X61" s="21"/>
    </row>
    <row r="62" spans="2:25" s="14" customFormat="1">
      <c r="B62" s="16"/>
      <c r="C62" s="15"/>
      <c r="D62" s="179"/>
      <c r="E62" s="35"/>
      <c r="F62" s="63"/>
      <c r="G62" s="63"/>
      <c r="H62" s="63"/>
      <c r="I62" s="63"/>
      <c r="J62" s="304"/>
      <c r="K62" s="306"/>
      <c r="L62" s="306"/>
      <c r="M62" s="306"/>
      <c r="N62" s="242">
        <f>IF($D62="MWh/yr (LHV)",$E62,$J62*$E62*(1-$L62)/Conversion_kWh_to_MJ)</f>
        <v>0</v>
      </c>
      <c r="O62" s="19"/>
      <c r="P62" s="19"/>
      <c r="Q62" s="19"/>
      <c r="R62" s="19"/>
      <c r="S62" s="302"/>
      <c r="T62" s="477"/>
      <c r="U62" s="302"/>
      <c r="V62" s="242" t="str">
        <f>IFERROR(IF(D62="tonnes/yr", $S62*$E62/($N$9*3.6), $T62*$E62*3.6/($N$9*3.6)), "Unfilled fields to left")</f>
        <v>Unfilled fields to left</v>
      </c>
      <c r="X62" s="21"/>
    </row>
    <row r="63" spans="2:25" s="14" customFormat="1">
      <c r="B63" s="64"/>
      <c r="C63" s="15"/>
      <c r="D63" s="179"/>
      <c r="E63" s="35"/>
      <c r="F63" s="21"/>
      <c r="G63" s="21"/>
      <c r="H63" s="63"/>
      <c r="I63" s="63"/>
      <c r="J63" s="304"/>
      <c r="K63" s="306"/>
      <c r="L63" s="306"/>
      <c r="M63" s="306"/>
      <c r="N63" s="242">
        <f>IF($D63="MWh/yr (LHV)",$E63,$J63*$E63*(1-$L63)/Conversion_kWh_to_MJ)</f>
        <v>0</v>
      </c>
      <c r="O63" s="19"/>
      <c r="P63" s="19"/>
      <c r="Q63" s="19"/>
      <c r="R63" s="19"/>
      <c r="S63" s="308"/>
      <c r="T63" s="477"/>
      <c r="U63" s="302"/>
      <c r="V63" s="242" t="str">
        <f>IFERROR(IF(D63="tonnes/yr", $S63*$E63/($N$9*3.6), $T63*$E63*3.6/($N$9*3.6)), "Unfilled fields to left")</f>
        <v>Unfilled fields to left</v>
      </c>
      <c r="X63" s="65"/>
    </row>
    <row r="64" spans="2:25" s="14" customFormat="1">
      <c r="B64" s="64"/>
      <c r="C64" s="15"/>
      <c r="D64" s="179"/>
      <c r="E64" s="35"/>
      <c r="F64" s="21"/>
      <c r="G64" s="21"/>
      <c r="H64" s="21"/>
      <c r="I64" s="21"/>
      <c r="J64" s="306"/>
      <c r="K64" s="306"/>
      <c r="L64" s="306"/>
      <c r="M64" s="306"/>
      <c r="N64" s="242">
        <f>IF($D64="MWh/yr (LHV)",$E64,$J64*$E64*(1-$L64)/Conversion_kWh_to_MJ)</f>
        <v>0</v>
      </c>
      <c r="O64" s="19"/>
      <c r="P64" s="19"/>
      <c r="Q64" s="19"/>
      <c r="R64" s="19"/>
      <c r="S64" s="308"/>
      <c r="T64" s="477"/>
      <c r="U64" s="302"/>
      <c r="V64" s="242" t="str">
        <f>IFERROR(IF(D64="tonnes/yr", $S64*$E64/($N$9*3.6), $T64*$E64*3.6/($N$9*3.6)), "Unfilled fields to left")</f>
        <v>Unfilled fields to left</v>
      </c>
      <c r="X64" s="65"/>
    </row>
    <row r="65" spans="2:25" s="14" customFormat="1">
      <c r="B65" s="64"/>
      <c r="C65" s="15"/>
      <c r="D65" s="179"/>
      <c r="E65" s="35"/>
      <c r="F65" s="21"/>
      <c r="G65" s="21"/>
      <c r="H65" s="21"/>
      <c r="I65" s="21"/>
      <c r="J65" s="306"/>
      <c r="K65" s="306"/>
      <c r="L65" s="306"/>
      <c r="M65" s="306"/>
      <c r="N65" s="242">
        <f>IF($D65="MWh/yr (LHV)",$E65,$J65*$E65*(1-$L65)/Conversion_kWh_to_MJ)</f>
        <v>0</v>
      </c>
      <c r="O65" s="19"/>
      <c r="P65" s="19"/>
      <c r="Q65" s="19"/>
      <c r="R65" s="19"/>
      <c r="S65" s="308"/>
      <c r="T65" s="477"/>
      <c r="U65" s="302"/>
      <c r="V65" s="242" t="str">
        <f>IFERROR(IF(D65="tonnes/yr", $S65*$E65/($N$9*3.6), $T65*$E65*3.6/($N$9*3.6)), "Unfilled fields to left")</f>
        <v>Unfilled fields to left</v>
      </c>
      <c r="X65" s="65"/>
    </row>
    <row r="66" spans="2:25" s="14" customFormat="1">
      <c r="B66" s="78"/>
      <c r="C66" s="262"/>
      <c r="D66" s="262"/>
      <c r="E66" s="496"/>
      <c r="F66" s="79"/>
      <c r="G66" s="79"/>
      <c r="H66" s="260"/>
      <c r="I66" s="260"/>
      <c r="J66" s="254"/>
      <c r="K66" s="254"/>
      <c r="L66" s="73"/>
      <c r="M66" s="73"/>
      <c r="N66" s="73"/>
      <c r="O66" s="12"/>
      <c r="P66" s="12"/>
      <c r="Q66" s="12"/>
      <c r="R66" s="12"/>
      <c r="S66" s="254"/>
      <c r="T66" s="254"/>
      <c r="U66" s="254"/>
      <c r="V66" s="254"/>
      <c r="X66" s="79"/>
    </row>
    <row r="67" spans="2:25" s="14" customFormat="1" ht="16.5">
      <c r="B67" s="145" t="s">
        <v>131</v>
      </c>
      <c r="C67" s="159"/>
      <c r="D67" s="159"/>
      <c r="E67" s="499"/>
      <c r="F67" s="160"/>
      <c r="G67" s="161"/>
      <c r="H67" s="160"/>
      <c r="I67" s="160"/>
      <c r="J67" s="307"/>
      <c r="K67" s="307"/>
      <c r="L67" s="476"/>
      <c r="M67" s="476"/>
      <c r="N67" s="476"/>
      <c r="O67" s="158"/>
      <c r="P67" s="158"/>
      <c r="Q67" s="158"/>
      <c r="R67" s="158"/>
      <c r="S67" s="307"/>
      <c r="T67" s="307"/>
      <c r="U67" s="307"/>
      <c r="V67" s="153">
        <f>SUM(V68:V75)</f>
        <v>0</v>
      </c>
      <c r="X67" s="79"/>
    </row>
    <row r="68" spans="2:25" s="14" customFormat="1">
      <c r="B68" s="186" t="s">
        <v>1072</v>
      </c>
      <c r="C68" s="184" t="s">
        <v>1073</v>
      </c>
      <c r="D68" s="179" t="s">
        <v>459</v>
      </c>
      <c r="E68" s="35"/>
      <c r="F68" s="24"/>
      <c r="G68" s="21"/>
      <c r="H68" s="24"/>
      <c r="I68" s="24"/>
      <c r="J68" s="495"/>
      <c r="K68" s="35"/>
      <c r="L68" s="306"/>
      <c r="M68" s="306"/>
      <c r="N68" s="242">
        <f t="shared" ref="N68:N75" si="10">IF($D68="MWh/yr (LHV)",$E68,$J68*$E68*(1-$L68)/Conversion_kWh_to_MJ)</f>
        <v>0</v>
      </c>
      <c r="O68" s="12"/>
      <c r="P68" s="12"/>
      <c r="Q68" s="12"/>
      <c r="R68" s="12"/>
      <c r="S68" s="300">
        <f t="shared" ref="S68" si="11">28*1000</f>
        <v>28000</v>
      </c>
      <c r="T68" s="477"/>
      <c r="U68" s="35" t="s">
        <v>1059</v>
      </c>
      <c r="V68" s="242" t="str">
        <f t="shared" ref="V68:V75" si="12">IFERROR(IF(D68="tonnes/yr", $S68*$E68/($N$9*3.6), $T68*$E68*3.6/($N$9*3.6)), "Unfilled fields to left")</f>
        <v>Unfilled fields to left</v>
      </c>
      <c r="X68" s="21"/>
    </row>
    <row r="69" spans="2:25" s="14" customFormat="1">
      <c r="B69" s="187" t="s">
        <v>1074</v>
      </c>
      <c r="C69" s="184" t="s">
        <v>1075</v>
      </c>
      <c r="D69" s="179" t="s">
        <v>459</v>
      </c>
      <c r="E69" s="35"/>
      <c r="F69" s="24"/>
      <c r="G69" s="65"/>
      <c r="H69" s="24"/>
      <c r="I69" s="24"/>
      <c r="J69" s="495"/>
      <c r="K69" s="35"/>
      <c r="L69" s="308"/>
      <c r="M69" s="308"/>
      <c r="N69" s="242">
        <f t="shared" si="10"/>
        <v>0</v>
      </c>
      <c r="O69" s="19"/>
      <c r="P69" s="19"/>
      <c r="Q69" s="19"/>
      <c r="R69" s="19"/>
      <c r="S69" s="300">
        <v>265000</v>
      </c>
      <c r="T69" s="477"/>
      <c r="U69" s="35" t="s">
        <v>1059</v>
      </c>
      <c r="V69" s="242" t="str">
        <f t="shared" si="12"/>
        <v>Unfilled fields to left</v>
      </c>
      <c r="X69" s="65"/>
    </row>
    <row r="70" spans="2:25" s="14" customFormat="1">
      <c r="B70" s="187" t="s">
        <v>1076</v>
      </c>
      <c r="C70" s="184" t="s">
        <v>1077</v>
      </c>
      <c r="D70" s="179" t="s">
        <v>459</v>
      </c>
      <c r="E70" s="35"/>
      <c r="F70" s="24"/>
      <c r="G70" s="65"/>
      <c r="H70" s="24"/>
      <c r="I70" s="24"/>
      <c r="J70" s="495"/>
      <c r="K70" s="35"/>
      <c r="L70" s="308"/>
      <c r="M70" s="308"/>
      <c r="N70" s="242">
        <f t="shared" si="10"/>
        <v>0</v>
      </c>
      <c r="O70" s="19"/>
      <c r="P70" s="19"/>
      <c r="Q70" s="19"/>
      <c r="R70" s="19"/>
      <c r="S70" s="300">
        <v>23500000</v>
      </c>
      <c r="T70" s="477"/>
      <c r="U70" s="35" t="s">
        <v>1059</v>
      </c>
      <c r="V70" s="242" t="str">
        <f t="shared" si="12"/>
        <v>Unfilled fields to left</v>
      </c>
      <c r="X70" s="65"/>
    </row>
    <row r="71" spans="2:25" s="14" customFormat="1">
      <c r="B71" s="187" t="s">
        <v>1078</v>
      </c>
      <c r="C71" s="184" t="s">
        <v>1079</v>
      </c>
      <c r="D71" s="179" t="s">
        <v>459</v>
      </c>
      <c r="E71" s="35"/>
      <c r="F71" s="24"/>
      <c r="G71" s="65"/>
      <c r="H71" s="24"/>
      <c r="I71" s="24"/>
      <c r="J71" s="495"/>
      <c r="K71" s="35"/>
      <c r="L71" s="308"/>
      <c r="M71" s="308"/>
      <c r="N71" s="242">
        <f t="shared" si="10"/>
        <v>0</v>
      </c>
      <c r="O71" s="19"/>
      <c r="P71" s="19"/>
      <c r="Q71" s="19"/>
      <c r="R71" s="19"/>
      <c r="S71" s="484" t="s">
        <v>1080</v>
      </c>
      <c r="T71" s="477"/>
      <c r="U71" s="35"/>
      <c r="V71" s="242" t="str">
        <f t="shared" si="12"/>
        <v>Unfilled fields to left</v>
      </c>
      <c r="X71" s="65"/>
    </row>
    <row r="72" spans="2:25" s="14" customFormat="1">
      <c r="B72" s="187" t="s">
        <v>1078</v>
      </c>
      <c r="C72" s="184" t="s">
        <v>1079</v>
      </c>
      <c r="D72" s="179" t="s">
        <v>459</v>
      </c>
      <c r="E72" s="35"/>
      <c r="F72" s="24"/>
      <c r="G72" s="65"/>
      <c r="H72" s="24"/>
      <c r="I72" s="24"/>
      <c r="J72" s="495"/>
      <c r="K72" s="35"/>
      <c r="L72" s="308"/>
      <c r="M72" s="308"/>
      <c r="N72" s="242">
        <f t="shared" si="10"/>
        <v>0</v>
      </c>
      <c r="O72" s="19"/>
      <c r="P72" s="19"/>
      <c r="Q72" s="19"/>
      <c r="R72" s="19"/>
      <c r="S72" s="484" t="s">
        <v>1080</v>
      </c>
      <c r="T72" s="477"/>
      <c r="U72" s="35"/>
      <c r="V72" s="242" t="str">
        <f t="shared" si="12"/>
        <v>Unfilled fields to left</v>
      </c>
      <c r="X72" s="65"/>
    </row>
    <row r="73" spans="2:25" s="14" customFormat="1">
      <c r="B73" s="187" t="s">
        <v>1078</v>
      </c>
      <c r="C73" s="184" t="s">
        <v>1079</v>
      </c>
      <c r="D73" s="179" t="s">
        <v>459</v>
      </c>
      <c r="E73" s="35"/>
      <c r="F73" s="24"/>
      <c r="G73" s="65"/>
      <c r="H73" s="24"/>
      <c r="I73" s="24"/>
      <c r="J73" s="495"/>
      <c r="K73" s="35"/>
      <c r="L73" s="308"/>
      <c r="M73" s="308"/>
      <c r="N73" s="242">
        <f t="shared" si="10"/>
        <v>0</v>
      </c>
      <c r="O73" s="19"/>
      <c r="P73" s="19"/>
      <c r="Q73" s="19"/>
      <c r="R73" s="19"/>
      <c r="S73" s="484" t="s">
        <v>1080</v>
      </c>
      <c r="T73" s="477"/>
      <c r="U73" s="35"/>
      <c r="V73" s="242" t="str">
        <f t="shared" si="12"/>
        <v>Unfilled fields to left</v>
      </c>
      <c r="X73" s="65"/>
    </row>
    <row r="74" spans="2:25" s="14" customFormat="1">
      <c r="B74" s="64"/>
      <c r="C74" s="15"/>
      <c r="D74" s="180"/>
      <c r="E74" s="500"/>
      <c r="F74" s="65"/>
      <c r="G74" s="65"/>
      <c r="H74" s="66"/>
      <c r="I74" s="66"/>
      <c r="J74" s="304"/>
      <c r="K74" s="308"/>
      <c r="L74" s="308"/>
      <c r="M74" s="308"/>
      <c r="N74" s="242">
        <f t="shared" si="10"/>
        <v>0</v>
      </c>
      <c r="O74" s="19"/>
      <c r="P74" s="19"/>
      <c r="Q74" s="19"/>
      <c r="R74" s="19"/>
      <c r="S74" s="302"/>
      <c r="T74" s="477"/>
      <c r="U74" s="308"/>
      <c r="V74" s="242" t="str">
        <f t="shared" si="12"/>
        <v>Unfilled fields to left</v>
      </c>
      <c r="X74" s="65"/>
    </row>
    <row r="75" spans="2:25" s="14" customFormat="1">
      <c r="B75" s="64"/>
      <c r="C75" s="15"/>
      <c r="D75" s="180"/>
      <c r="E75" s="500"/>
      <c r="F75" s="65"/>
      <c r="G75" s="65"/>
      <c r="H75" s="66"/>
      <c r="I75" s="66"/>
      <c r="J75" s="306"/>
      <c r="K75" s="308"/>
      <c r="L75" s="308"/>
      <c r="M75" s="308"/>
      <c r="N75" s="242">
        <f t="shared" si="10"/>
        <v>0</v>
      </c>
      <c r="O75" s="19"/>
      <c r="P75" s="19"/>
      <c r="Q75" s="19"/>
      <c r="R75" s="19"/>
      <c r="S75" s="302"/>
      <c r="T75" s="477"/>
      <c r="U75" s="308"/>
      <c r="V75" s="242" t="str">
        <f t="shared" si="12"/>
        <v>Unfilled fields to left</v>
      </c>
      <c r="X75" s="65"/>
    </row>
    <row r="76" spans="2:25">
      <c r="C76" s="17"/>
      <c r="D76" s="17"/>
      <c r="E76" s="140"/>
      <c r="F76" s="17"/>
      <c r="H76" s="18"/>
      <c r="I76" s="18"/>
      <c r="J76" s="40"/>
      <c r="K76" s="40"/>
      <c r="L76" s="40"/>
      <c r="M76" s="40"/>
      <c r="N76" s="40"/>
      <c r="O76" s="12"/>
      <c r="S76" s="40"/>
      <c r="T76" s="40"/>
      <c r="U76" s="40"/>
      <c r="V76" s="40"/>
      <c r="Y76" s="19"/>
    </row>
    <row r="77" spans="2:25">
      <c r="E77" s="113"/>
      <c r="I77" s="19"/>
      <c r="J77" s="113"/>
      <c r="K77" s="113"/>
      <c r="L77" s="107"/>
      <c r="M77" s="107"/>
      <c r="N77" s="107"/>
      <c r="O77" s="12"/>
      <c r="S77" s="125"/>
      <c r="T77" s="125"/>
      <c r="U77" s="38" t="s">
        <v>1114</v>
      </c>
      <c r="V77" s="153">
        <f>IF(OR(COUNTIF(Initial_questions!$E$112,"Default"), COUNTIF(Initial_questions!$E$114:$E$115,"Default")),"Default data selected",SUM(V20,V33,V45,V52,V60,V67))</f>
        <v>0</v>
      </c>
      <c r="Y77" s="19"/>
    </row>
    <row r="78" spans="2:25">
      <c r="B78" s="145" t="s">
        <v>132</v>
      </c>
      <c r="C78" s="159"/>
      <c r="D78" s="159"/>
      <c r="E78" s="499"/>
      <c r="I78" s="19"/>
      <c r="J78" s="113"/>
      <c r="K78" s="113"/>
      <c r="L78" s="107"/>
      <c r="M78" s="107"/>
      <c r="N78" s="107"/>
      <c r="O78" s="12"/>
      <c r="S78" s="113"/>
      <c r="T78" s="113"/>
      <c r="U78" s="113"/>
      <c r="V78" s="19"/>
      <c r="Y78" s="19"/>
    </row>
    <row r="79" spans="2:25">
      <c r="B79" s="16" t="s">
        <v>1086</v>
      </c>
      <c r="C79" s="15" t="s">
        <v>1135</v>
      </c>
      <c r="D79" s="15" t="s">
        <v>1088</v>
      </c>
      <c r="E79" s="501"/>
      <c r="H79" s="19"/>
      <c r="I79" s="19"/>
      <c r="J79" s="113"/>
      <c r="K79" s="113"/>
      <c r="L79" s="107"/>
      <c r="M79" s="107"/>
      <c r="N79" s="107"/>
      <c r="O79" s="12"/>
      <c r="S79" s="113"/>
      <c r="T79" s="113"/>
      <c r="U79" s="113"/>
      <c r="V79" s="19"/>
      <c r="X79" s="25"/>
      <c r="Y79" s="19"/>
    </row>
    <row r="80" spans="2:25">
      <c r="B80" s="16" t="s">
        <v>1091</v>
      </c>
      <c r="C80" s="15" t="s">
        <v>1136</v>
      </c>
      <c r="D80" s="15" t="s">
        <v>785</v>
      </c>
      <c r="E80" s="511">
        <f>Initial_questions!$E$93</f>
        <v>0</v>
      </c>
      <c r="I80" s="19"/>
      <c r="J80" s="113"/>
      <c r="K80" s="113"/>
      <c r="L80" s="107"/>
      <c r="M80" s="107"/>
      <c r="N80" s="107"/>
      <c r="O80" s="12"/>
      <c r="S80" s="113"/>
      <c r="T80" s="113"/>
      <c r="U80" s="113"/>
      <c r="V80" s="19"/>
      <c r="X80" s="25"/>
      <c r="Y80" s="19"/>
    </row>
    <row r="81" spans="2:25">
      <c r="B81" s="16"/>
      <c r="C81" s="15"/>
      <c r="D81" s="15"/>
      <c r="E81" s="511"/>
      <c r="H81" s="19"/>
      <c r="I81" s="19"/>
      <c r="J81" s="113"/>
      <c r="K81" s="113"/>
      <c r="L81" s="107"/>
      <c r="M81" s="107"/>
      <c r="N81" s="107"/>
      <c r="O81" s="12"/>
      <c r="S81" s="113"/>
      <c r="T81" s="113"/>
      <c r="U81" s="113"/>
      <c r="V81" s="19"/>
      <c r="X81" s="25"/>
      <c r="Y81" s="19"/>
    </row>
    <row r="82" spans="2:25">
      <c r="B82" s="16"/>
      <c r="C82" s="15"/>
      <c r="D82" s="15"/>
      <c r="E82" s="501"/>
      <c r="H82" s="19"/>
      <c r="I82" s="19"/>
      <c r="J82" s="113"/>
      <c r="K82" s="113"/>
      <c r="L82" s="107"/>
      <c r="M82" s="107"/>
      <c r="N82" s="107"/>
      <c r="O82" s="12"/>
      <c r="S82" s="125"/>
      <c r="T82" s="125"/>
      <c r="U82" s="125"/>
      <c r="X82" s="25"/>
    </row>
    <row r="83" spans="2:25">
      <c r="E83" s="113"/>
      <c r="H83" s="19"/>
      <c r="I83" s="19"/>
      <c r="J83" s="113"/>
      <c r="K83" s="113"/>
      <c r="L83" s="107"/>
      <c r="M83" s="107"/>
      <c r="N83" s="107"/>
      <c r="O83" s="12"/>
      <c r="S83" s="125"/>
      <c r="T83" s="125"/>
      <c r="U83" s="125"/>
    </row>
    <row r="84" spans="2:25">
      <c r="E84" s="113"/>
      <c r="J84" s="125"/>
      <c r="K84" s="125"/>
      <c r="L84" s="39"/>
      <c r="M84" s="39"/>
      <c r="S84" s="125"/>
      <c r="T84" s="125"/>
      <c r="U84" s="125"/>
    </row>
    <row r="85" spans="2:25">
      <c r="E85" s="113"/>
      <c r="J85" s="125"/>
      <c r="K85" s="125"/>
      <c r="L85" s="39"/>
      <c r="M85" s="39"/>
      <c r="S85" s="125"/>
      <c r="T85" s="125"/>
      <c r="U85" s="125"/>
    </row>
    <row r="86" spans="2:25">
      <c r="E86" s="113"/>
      <c r="J86" s="125"/>
      <c r="K86" s="125"/>
      <c r="L86" s="39"/>
      <c r="M86" s="39"/>
      <c r="S86" s="125"/>
      <c r="T86" s="125"/>
      <c r="U86" s="125"/>
    </row>
    <row r="87" spans="2:25">
      <c r="E87" s="113"/>
      <c r="J87" s="125"/>
      <c r="K87" s="125"/>
      <c r="L87" s="39"/>
      <c r="M87" s="39"/>
      <c r="S87" s="125"/>
      <c r="T87" s="125"/>
      <c r="U87" s="125"/>
    </row>
    <row r="88" spans="2:25">
      <c r="E88" s="113"/>
      <c r="J88" s="125"/>
      <c r="K88" s="125"/>
      <c r="L88" s="39"/>
      <c r="M88" s="39"/>
      <c r="S88" s="125"/>
      <c r="T88" s="125"/>
      <c r="U88" s="125"/>
    </row>
    <row r="89" spans="2:25">
      <c r="E89" s="113"/>
      <c r="J89" s="125"/>
      <c r="K89" s="125"/>
      <c r="L89" s="39"/>
      <c r="M89" s="39"/>
      <c r="S89" s="125"/>
      <c r="T89" s="125"/>
      <c r="U89" s="125"/>
    </row>
    <row r="90" spans="2:25">
      <c r="E90" s="113"/>
      <c r="J90" s="125"/>
      <c r="K90" s="125"/>
      <c r="L90" s="39"/>
      <c r="M90" s="39"/>
      <c r="S90" s="125"/>
      <c r="T90" s="125"/>
      <c r="U90" s="125"/>
    </row>
    <row r="91" spans="2:25">
      <c r="E91" s="113"/>
      <c r="J91" s="125"/>
      <c r="K91" s="125"/>
      <c r="L91" s="39"/>
      <c r="M91" s="39"/>
      <c r="S91" s="125"/>
      <c r="T91" s="125"/>
      <c r="U91" s="125"/>
    </row>
    <row r="92" spans="2:25">
      <c r="E92" s="113"/>
      <c r="J92" s="125"/>
      <c r="K92" s="125"/>
      <c r="L92" s="39"/>
      <c r="M92" s="39"/>
      <c r="S92" s="125"/>
      <c r="T92" s="125"/>
      <c r="U92" s="125"/>
    </row>
    <row r="93" spans="2:25">
      <c r="E93" s="113"/>
      <c r="J93" s="125"/>
      <c r="K93" s="125"/>
      <c r="L93" s="39"/>
      <c r="M93" s="39"/>
      <c r="S93" s="125"/>
      <c r="T93" s="125"/>
      <c r="U93" s="125"/>
    </row>
    <row r="94" spans="2:25">
      <c r="E94" s="113"/>
      <c r="J94" s="125"/>
      <c r="K94" s="125"/>
      <c r="L94" s="39"/>
      <c r="M94" s="39"/>
      <c r="S94" s="125"/>
      <c r="T94" s="125"/>
      <c r="U94" s="125"/>
    </row>
    <row r="95" spans="2:25">
      <c r="E95" s="113"/>
      <c r="J95" s="125"/>
      <c r="K95" s="125"/>
      <c r="L95" s="39"/>
      <c r="M95" s="39"/>
      <c r="S95" s="125"/>
      <c r="T95" s="125"/>
      <c r="U95" s="125"/>
    </row>
    <row r="96" spans="2:25">
      <c r="E96" s="113"/>
      <c r="J96" s="125"/>
      <c r="K96" s="125"/>
      <c r="L96" s="39"/>
      <c r="M96" s="39"/>
      <c r="S96" s="125"/>
      <c r="T96" s="125"/>
      <c r="U96" s="125"/>
    </row>
    <row r="97" spans="5:21">
      <c r="E97" s="113"/>
      <c r="J97" s="125"/>
      <c r="K97" s="125"/>
      <c r="L97" s="39"/>
      <c r="M97" s="39"/>
      <c r="S97" s="125"/>
      <c r="T97" s="125"/>
      <c r="U97" s="125"/>
    </row>
    <row r="98" spans="5:21">
      <c r="E98" s="113"/>
      <c r="J98" s="125"/>
      <c r="K98" s="125"/>
      <c r="L98" s="39"/>
      <c r="M98" s="39"/>
      <c r="S98" s="125"/>
      <c r="T98" s="125"/>
      <c r="U98" s="125"/>
    </row>
    <row r="99" spans="5:21">
      <c r="E99" s="113"/>
      <c r="J99" s="125"/>
      <c r="K99" s="125"/>
      <c r="L99" s="39"/>
      <c r="M99" s="39"/>
      <c r="S99" s="125"/>
      <c r="T99" s="125"/>
      <c r="U99" s="125"/>
    </row>
    <row r="100" spans="5:21">
      <c r="E100" s="113"/>
      <c r="J100" s="125"/>
      <c r="K100" s="125"/>
      <c r="L100" s="39"/>
      <c r="M100" s="39"/>
      <c r="S100" s="125"/>
      <c r="T100" s="125"/>
      <c r="U100" s="125"/>
    </row>
    <row r="101" spans="5:21">
      <c r="E101" s="113"/>
      <c r="J101" s="125"/>
      <c r="K101" s="125"/>
      <c r="L101" s="39"/>
      <c r="M101" s="39"/>
      <c r="S101" s="125"/>
      <c r="T101" s="125"/>
      <c r="U101" s="125"/>
    </row>
    <row r="102" spans="5:21">
      <c r="E102" s="113"/>
      <c r="J102" s="125"/>
      <c r="K102" s="125"/>
      <c r="L102" s="39"/>
      <c r="M102" s="39"/>
      <c r="S102" s="125"/>
      <c r="T102" s="125"/>
      <c r="U102" s="125"/>
    </row>
    <row r="103" spans="5:21">
      <c r="E103" s="113"/>
      <c r="J103" s="125"/>
      <c r="K103" s="125"/>
      <c r="L103" s="39"/>
      <c r="M103" s="39"/>
      <c r="S103" s="125"/>
      <c r="T103" s="125"/>
      <c r="U103" s="125"/>
    </row>
    <row r="104" spans="5:21">
      <c r="E104" s="113"/>
      <c r="J104" s="125"/>
      <c r="K104" s="125"/>
      <c r="L104" s="39"/>
      <c r="M104" s="39"/>
      <c r="S104" s="125"/>
      <c r="T104" s="125"/>
      <c r="U104" s="125"/>
    </row>
    <row r="105" spans="5:21">
      <c r="E105" s="113"/>
      <c r="J105" s="125"/>
      <c r="K105" s="125"/>
      <c r="L105" s="39"/>
      <c r="M105" s="39"/>
      <c r="S105" s="125"/>
      <c r="T105" s="125"/>
      <c r="U105" s="125"/>
    </row>
    <row r="106" spans="5:21">
      <c r="E106" s="113"/>
      <c r="J106" s="125"/>
      <c r="K106" s="125"/>
      <c r="L106" s="39"/>
      <c r="M106" s="39"/>
      <c r="S106" s="125"/>
      <c r="T106" s="125"/>
      <c r="U106" s="125"/>
    </row>
    <row r="107" spans="5:21">
      <c r="E107" s="113"/>
      <c r="J107" s="125"/>
      <c r="K107" s="125"/>
      <c r="L107" s="39"/>
      <c r="M107" s="39"/>
      <c r="S107" s="125"/>
      <c r="T107" s="125"/>
      <c r="U107" s="125"/>
    </row>
    <row r="108" spans="5:21">
      <c r="E108" s="113"/>
      <c r="J108" s="125"/>
      <c r="K108" s="125"/>
      <c r="L108" s="39"/>
      <c r="M108" s="39"/>
      <c r="S108" s="125"/>
      <c r="T108" s="125"/>
      <c r="U108" s="125"/>
    </row>
    <row r="109" spans="5:21">
      <c r="E109" s="113"/>
      <c r="J109" s="125"/>
      <c r="K109" s="125"/>
      <c r="L109" s="39"/>
      <c r="M109" s="39"/>
      <c r="S109" s="125"/>
      <c r="T109" s="125"/>
      <c r="U109" s="125"/>
    </row>
    <row r="110" spans="5:21">
      <c r="E110" s="113"/>
      <c r="J110" s="125"/>
      <c r="K110" s="125"/>
      <c r="L110" s="39"/>
      <c r="M110" s="39"/>
      <c r="S110" s="125"/>
      <c r="T110" s="125"/>
      <c r="U110" s="125"/>
    </row>
    <row r="111" spans="5:21">
      <c r="E111" s="113"/>
      <c r="J111" s="125"/>
      <c r="K111" s="125"/>
      <c r="L111" s="39"/>
      <c r="M111" s="39"/>
      <c r="S111" s="125"/>
      <c r="T111" s="125"/>
      <c r="U111" s="125"/>
    </row>
    <row r="112" spans="5:21">
      <c r="E112" s="113"/>
      <c r="J112" s="125"/>
      <c r="K112" s="125"/>
      <c r="L112" s="39"/>
      <c r="M112" s="39"/>
      <c r="S112" s="125"/>
      <c r="T112" s="125"/>
      <c r="U112" s="125"/>
    </row>
    <row r="113" spans="5:21">
      <c r="E113" s="113"/>
      <c r="J113" s="125"/>
      <c r="K113" s="125"/>
      <c r="L113" s="39"/>
      <c r="M113" s="39"/>
      <c r="S113" s="125"/>
      <c r="T113" s="125"/>
      <c r="U113" s="125"/>
    </row>
    <row r="114" spans="5:21">
      <c r="E114" s="113"/>
      <c r="J114" s="125"/>
      <c r="K114" s="125"/>
      <c r="L114" s="39"/>
      <c r="M114" s="39"/>
      <c r="S114" s="125"/>
      <c r="T114" s="125"/>
      <c r="U114" s="125"/>
    </row>
    <row r="115" spans="5:21">
      <c r="E115" s="113"/>
      <c r="J115" s="125"/>
      <c r="K115" s="125"/>
      <c r="L115" s="39"/>
      <c r="M115" s="39"/>
      <c r="S115" s="125"/>
      <c r="T115" s="125"/>
      <c r="U115" s="125"/>
    </row>
    <row r="116" spans="5:21">
      <c r="E116" s="113"/>
      <c r="J116" s="125"/>
      <c r="K116" s="125"/>
      <c r="L116" s="39"/>
      <c r="M116" s="39"/>
      <c r="S116" s="125"/>
      <c r="T116" s="125"/>
      <c r="U116" s="125"/>
    </row>
    <row r="117" spans="5:21">
      <c r="E117" s="113"/>
      <c r="J117" s="125"/>
      <c r="K117" s="125"/>
      <c r="L117" s="39"/>
      <c r="M117" s="39"/>
      <c r="S117" s="125"/>
      <c r="T117" s="125"/>
      <c r="U117" s="125"/>
    </row>
    <row r="118" spans="5:21">
      <c r="E118" s="113"/>
      <c r="J118" s="125"/>
      <c r="K118" s="125"/>
      <c r="L118" s="39"/>
      <c r="M118" s="39"/>
      <c r="S118" s="125"/>
      <c r="T118" s="125"/>
      <c r="U118" s="125"/>
    </row>
    <row r="119" spans="5:21">
      <c r="E119" s="113"/>
      <c r="J119" s="125"/>
      <c r="K119" s="125"/>
      <c r="L119" s="39"/>
      <c r="M119" s="39"/>
      <c r="S119" s="125"/>
      <c r="T119" s="125"/>
      <c r="U119" s="125"/>
    </row>
    <row r="120" spans="5:21">
      <c r="E120" s="113"/>
      <c r="J120" s="125"/>
      <c r="K120" s="125"/>
      <c r="L120" s="39"/>
      <c r="M120" s="39"/>
      <c r="S120" s="125"/>
      <c r="T120" s="125"/>
      <c r="U120" s="125"/>
    </row>
    <row r="121" spans="5:21">
      <c r="E121" s="113"/>
      <c r="J121" s="125"/>
      <c r="K121" s="125"/>
      <c r="L121" s="39"/>
      <c r="M121" s="39"/>
      <c r="S121" s="125"/>
      <c r="T121" s="125"/>
      <c r="U121" s="125"/>
    </row>
    <row r="122" spans="5:21">
      <c r="E122" s="113"/>
      <c r="J122" s="125"/>
      <c r="K122" s="125"/>
      <c r="L122" s="39"/>
      <c r="M122" s="39"/>
      <c r="S122" s="125"/>
      <c r="T122" s="125"/>
      <c r="U122" s="125"/>
    </row>
    <row r="123" spans="5:21">
      <c r="E123" s="113"/>
      <c r="S123" s="125"/>
      <c r="T123" s="125"/>
      <c r="U123" s="125"/>
    </row>
    <row r="124" spans="5:21">
      <c r="E124" s="113"/>
      <c r="S124" s="125"/>
      <c r="T124" s="125"/>
      <c r="U124" s="125"/>
    </row>
    <row r="125" spans="5:21">
      <c r="E125" s="113"/>
      <c r="S125" s="125"/>
      <c r="T125" s="125"/>
      <c r="U125" s="125"/>
    </row>
    <row r="126" spans="5:21">
      <c r="E126" s="113"/>
      <c r="S126" s="125"/>
      <c r="T126" s="125"/>
      <c r="U126" s="125"/>
    </row>
    <row r="127" spans="5:21">
      <c r="E127" s="113"/>
      <c r="S127" s="125"/>
      <c r="T127" s="125"/>
      <c r="U127" s="125"/>
    </row>
    <row r="128" spans="5:21">
      <c r="E128" s="113"/>
      <c r="S128" s="125"/>
      <c r="T128" s="125"/>
      <c r="U128" s="125"/>
    </row>
    <row r="129" spans="5:21">
      <c r="E129" s="113"/>
      <c r="S129" s="125"/>
      <c r="T129" s="125"/>
      <c r="U129" s="125"/>
    </row>
    <row r="130" spans="5:21">
      <c r="E130" s="113"/>
      <c r="S130" s="125"/>
      <c r="T130" s="125"/>
      <c r="U130" s="125"/>
    </row>
    <row r="131" spans="5:21">
      <c r="E131" s="113"/>
      <c r="S131" s="125"/>
      <c r="T131" s="125"/>
      <c r="U131" s="125"/>
    </row>
    <row r="132" spans="5:21">
      <c r="E132" s="113"/>
      <c r="S132" s="125"/>
      <c r="T132" s="125"/>
      <c r="U132" s="125"/>
    </row>
    <row r="133" spans="5:21">
      <c r="E133" s="113"/>
      <c r="S133" s="125"/>
      <c r="T133" s="125"/>
      <c r="U133" s="125"/>
    </row>
    <row r="134" spans="5:21">
      <c r="E134" s="113"/>
      <c r="S134" s="125"/>
      <c r="T134" s="125"/>
      <c r="U134" s="125"/>
    </row>
    <row r="135" spans="5:21">
      <c r="E135" s="113"/>
      <c r="S135" s="125"/>
      <c r="T135" s="125"/>
      <c r="U135" s="125"/>
    </row>
    <row r="136" spans="5:21">
      <c r="E136" s="113"/>
      <c r="S136" s="125"/>
      <c r="T136" s="125"/>
      <c r="U136" s="125"/>
    </row>
    <row r="137" spans="5:21">
      <c r="E137" s="113"/>
      <c r="S137" s="125"/>
      <c r="T137" s="125"/>
      <c r="U137" s="125"/>
    </row>
    <row r="138" spans="5:21">
      <c r="E138" s="113"/>
      <c r="S138" s="125"/>
      <c r="T138" s="125"/>
      <c r="U138" s="125"/>
    </row>
    <row r="139" spans="5:21">
      <c r="E139" s="113"/>
      <c r="S139" s="125"/>
      <c r="T139" s="125"/>
      <c r="U139" s="125"/>
    </row>
    <row r="140" spans="5:21">
      <c r="E140" s="113"/>
      <c r="S140" s="125"/>
      <c r="T140" s="125"/>
      <c r="U140" s="125"/>
    </row>
    <row r="141" spans="5:21">
      <c r="E141" s="113"/>
      <c r="S141" s="125"/>
      <c r="T141" s="125"/>
      <c r="U141" s="125"/>
    </row>
    <row r="142" spans="5:21">
      <c r="E142" s="113"/>
      <c r="S142" s="125"/>
      <c r="T142" s="125"/>
      <c r="U142" s="125"/>
    </row>
    <row r="143" spans="5:21">
      <c r="E143" s="113"/>
      <c r="S143" s="125"/>
      <c r="T143" s="125"/>
      <c r="U143" s="125"/>
    </row>
    <row r="144" spans="5:21">
      <c r="E144" s="113"/>
      <c r="S144" s="125"/>
      <c r="T144" s="125"/>
      <c r="U144" s="125"/>
    </row>
    <row r="145" spans="5:21">
      <c r="E145" s="113"/>
      <c r="S145" s="125"/>
      <c r="T145" s="125"/>
      <c r="U145" s="125"/>
    </row>
    <row r="146" spans="5:21">
      <c r="E146" s="113"/>
      <c r="S146" s="125"/>
      <c r="T146" s="125"/>
      <c r="U146" s="125"/>
    </row>
    <row r="147" spans="5:21">
      <c r="E147" s="113"/>
      <c r="S147" s="125"/>
      <c r="T147" s="125"/>
      <c r="U147" s="125"/>
    </row>
    <row r="148" spans="5:21">
      <c r="E148" s="256"/>
      <c r="S148" s="125"/>
      <c r="T148" s="125"/>
      <c r="U148" s="125"/>
    </row>
    <row r="149" spans="5:21">
      <c r="E149" s="256"/>
      <c r="S149" s="125"/>
      <c r="T149" s="125"/>
      <c r="U149" s="125"/>
    </row>
    <row r="150" spans="5:21">
      <c r="E150" s="256"/>
      <c r="S150" s="125"/>
      <c r="T150" s="125"/>
      <c r="U150" s="125"/>
    </row>
    <row r="151" spans="5:21">
      <c r="E151" s="256"/>
      <c r="S151" s="125"/>
      <c r="T151" s="125"/>
      <c r="U151" s="125"/>
    </row>
    <row r="152" spans="5:21">
      <c r="E152" s="256"/>
      <c r="S152" s="125"/>
      <c r="T152" s="125"/>
      <c r="U152" s="125"/>
    </row>
    <row r="153" spans="5:21">
      <c r="E153" s="256"/>
      <c r="S153" s="125"/>
      <c r="T153" s="125"/>
      <c r="U153" s="125"/>
    </row>
    <row r="154" spans="5:21">
      <c r="E154" s="256"/>
      <c r="S154" s="125"/>
      <c r="T154" s="125"/>
      <c r="U154" s="125"/>
    </row>
    <row r="155" spans="5:21">
      <c r="E155" s="256"/>
      <c r="S155" s="125"/>
      <c r="T155" s="125"/>
      <c r="U155" s="125"/>
    </row>
    <row r="156" spans="5:21">
      <c r="E156" s="256"/>
      <c r="S156" s="125"/>
      <c r="T156" s="125"/>
      <c r="U156" s="125"/>
    </row>
    <row r="157" spans="5:21">
      <c r="E157" s="256"/>
      <c r="S157" s="125"/>
      <c r="T157" s="125"/>
      <c r="U157" s="125"/>
    </row>
    <row r="158" spans="5:21">
      <c r="E158" s="256"/>
      <c r="S158" s="125"/>
      <c r="T158" s="125"/>
      <c r="U158" s="125"/>
    </row>
    <row r="159" spans="5:21">
      <c r="E159" s="256"/>
      <c r="S159" s="125"/>
      <c r="T159" s="125"/>
      <c r="U159" s="125"/>
    </row>
    <row r="160" spans="5:21">
      <c r="E160" s="256"/>
      <c r="S160" s="125"/>
      <c r="T160" s="125"/>
      <c r="U160" s="125"/>
    </row>
    <row r="161" spans="5:21">
      <c r="E161" s="256"/>
      <c r="S161" s="125"/>
      <c r="T161" s="125"/>
      <c r="U161" s="125"/>
    </row>
    <row r="162" spans="5:21">
      <c r="E162" s="256"/>
      <c r="S162" s="125"/>
      <c r="T162" s="125"/>
      <c r="U162" s="125"/>
    </row>
    <row r="163" spans="5:21">
      <c r="E163" s="256"/>
      <c r="S163" s="125"/>
      <c r="T163" s="125"/>
      <c r="U163" s="125"/>
    </row>
    <row r="164" spans="5:21">
      <c r="E164" s="256"/>
      <c r="S164" s="125"/>
      <c r="T164" s="125"/>
      <c r="U164" s="125"/>
    </row>
    <row r="165" spans="5:21">
      <c r="E165" s="256"/>
      <c r="S165" s="125"/>
      <c r="T165" s="125"/>
      <c r="U165" s="125"/>
    </row>
    <row r="166" spans="5:21">
      <c r="E166" s="256"/>
      <c r="S166" s="125"/>
      <c r="T166" s="125"/>
      <c r="U166" s="125"/>
    </row>
    <row r="167" spans="5:21">
      <c r="E167" s="256"/>
      <c r="S167" s="125"/>
      <c r="T167" s="125"/>
      <c r="U167" s="125"/>
    </row>
    <row r="168" spans="5:21">
      <c r="E168" s="256"/>
      <c r="S168" s="125"/>
      <c r="T168" s="125"/>
      <c r="U168" s="125"/>
    </row>
    <row r="169" spans="5:21">
      <c r="E169" s="256"/>
      <c r="S169" s="125"/>
      <c r="T169" s="125"/>
      <c r="U169" s="125"/>
    </row>
    <row r="170" spans="5:21">
      <c r="E170" s="256"/>
      <c r="S170" s="125"/>
      <c r="T170" s="125"/>
      <c r="U170" s="125"/>
    </row>
    <row r="171" spans="5:21">
      <c r="E171" s="256"/>
      <c r="S171" s="125"/>
      <c r="T171" s="125"/>
      <c r="U171" s="125"/>
    </row>
    <row r="172" spans="5:21">
      <c r="E172" s="256"/>
      <c r="S172" s="125"/>
      <c r="T172" s="125"/>
      <c r="U172" s="125"/>
    </row>
    <row r="173" spans="5:21">
      <c r="E173" s="256"/>
      <c r="S173" s="125"/>
      <c r="T173" s="125"/>
      <c r="U173" s="125"/>
    </row>
    <row r="174" spans="5:21">
      <c r="E174" s="256"/>
      <c r="S174" s="125"/>
      <c r="T174" s="125"/>
      <c r="U174" s="125"/>
    </row>
    <row r="175" spans="5:21">
      <c r="E175" s="256"/>
      <c r="S175" s="125"/>
      <c r="T175" s="125"/>
      <c r="U175" s="125"/>
    </row>
    <row r="176" spans="5:21">
      <c r="E176" s="256"/>
      <c r="S176" s="125"/>
      <c r="T176" s="125"/>
      <c r="U176" s="125"/>
    </row>
    <row r="177" spans="5:21">
      <c r="E177" s="256"/>
      <c r="S177" s="125"/>
      <c r="T177" s="125"/>
      <c r="U177" s="125"/>
    </row>
    <row r="178" spans="5:21">
      <c r="E178" s="256"/>
      <c r="S178" s="125"/>
      <c r="T178" s="125"/>
      <c r="U178" s="125"/>
    </row>
    <row r="179" spans="5:21">
      <c r="E179" s="256"/>
      <c r="S179" s="125"/>
      <c r="T179" s="125"/>
      <c r="U179" s="125"/>
    </row>
    <row r="180" spans="5:21">
      <c r="E180" s="256"/>
      <c r="S180" s="125"/>
      <c r="T180" s="125"/>
      <c r="U180" s="125"/>
    </row>
    <row r="181" spans="5:21">
      <c r="E181" s="256"/>
      <c r="S181" s="125"/>
      <c r="T181" s="125"/>
      <c r="U181" s="125"/>
    </row>
    <row r="182" spans="5:21">
      <c r="E182" s="256"/>
      <c r="S182" s="125"/>
      <c r="T182" s="125"/>
      <c r="U182" s="125"/>
    </row>
    <row r="183" spans="5:21">
      <c r="E183" s="256"/>
      <c r="S183" s="125"/>
      <c r="T183" s="125"/>
      <c r="U183" s="125"/>
    </row>
    <row r="184" spans="5:21">
      <c r="E184" s="256"/>
      <c r="S184" s="125"/>
      <c r="T184" s="125"/>
      <c r="U184" s="125"/>
    </row>
    <row r="185" spans="5:21">
      <c r="E185" s="256"/>
      <c r="S185" s="125"/>
      <c r="T185" s="125"/>
      <c r="U185" s="125"/>
    </row>
    <row r="186" spans="5:21">
      <c r="E186" s="256"/>
      <c r="S186" s="125"/>
      <c r="T186" s="125"/>
      <c r="U186" s="125"/>
    </row>
    <row r="187" spans="5:21">
      <c r="E187" s="256"/>
      <c r="S187" s="125"/>
      <c r="T187" s="125"/>
      <c r="U187" s="125"/>
    </row>
    <row r="188" spans="5:21">
      <c r="E188" s="256"/>
      <c r="S188" s="125"/>
      <c r="T188" s="125"/>
      <c r="U188" s="125"/>
    </row>
    <row r="189" spans="5:21">
      <c r="E189" s="256"/>
      <c r="S189" s="125"/>
      <c r="T189" s="125"/>
      <c r="U189" s="125"/>
    </row>
    <row r="190" spans="5:21">
      <c r="E190" s="256"/>
    </row>
    <row r="191" spans="5:21">
      <c r="E191" s="256"/>
    </row>
    <row r="192" spans="5:21">
      <c r="E192" s="256"/>
    </row>
    <row r="193" spans="5:5">
      <c r="E193" s="256"/>
    </row>
    <row r="194" spans="5:5">
      <c r="E194" s="256"/>
    </row>
    <row r="195" spans="5:5">
      <c r="E195" s="256"/>
    </row>
    <row r="196" spans="5:5">
      <c r="E196" s="256"/>
    </row>
    <row r="197" spans="5:5">
      <c r="E197" s="256"/>
    </row>
    <row r="198" spans="5:5">
      <c r="E198" s="256"/>
    </row>
    <row r="199" spans="5:5">
      <c r="E199" s="256"/>
    </row>
    <row r="200" spans="5:5">
      <c r="E200" s="256"/>
    </row>
    <row r="201" spans="5:5">
      <c r="E201" s="256"/>
    </row>
    <row r="202" spans="5:5">
      <c r="E202" s="256"/>
    </row>
    <row r="203" spans="5:5">
      <c r="E203" s="256"/>
    </row>
    <row r="204" spans="5:5">
      <c r="E204" s="256"/>
    </row>
    <row r="205" spans="5:5">
      <c r="E205" s="256"/>
    </row>
    <row r="206" spans="5:5">
      <c r="E206" s="256"/>
    </row>
    <row r="207" spans="5:5">
      <c r="E207" s="256"/>
    </row>
    <row r="208" spans="5:5">
      <c r="E208" s="256"/>
    </row>
    <row r="209" spans="5:5">
      <c r="E209" s="256"/>
    </row>
    <row r="210" spans="5:5">
      <c r="E210" s="256"/>
    </row>
    <row r="211" spans="5:5">
      <c r="E211" s="256"/>
    </row>
    <row r="212" spans="5:5">
      <c r="E212" s="256"/>
    </row>
    <row r="213" spans="5:5">
      <c r="E213" s="256"/>
    </row>
    <row r="214" spans="5:5">
      <c r="E214" s="256"/>
    </row>
    <row r="215" spans="5:5">
      <c r="E215" s="256"/>
    </row>
    <row r="216" spans="5:5">
      <c r="E216" s="256"/>
    </row>
    <row r="217" spans="5:5">
      <c r="E217" s="256"/>
    </row>
    <row r="218" spans="5:5">
      <c r="E218" s="256"/>
    </row>
    <row r="219" spans="5:5">
      <c r="E219" s="256"/>
    </row>
    <row r="220" spans="5:5">
      <c r="E220" s="256"/>
    </row>
    <row r="221" spans="5:5">
      <c r="E221" s="256"/>
    </row>
    <row r="222" spans="5:5">
      <c r="E222" s="256"/>
    </row>
    <row r="223" spans="5:5">
      <c r="E223" s="256"/>
    </row>
    <row r="224" spans="5:5">
      <c r="E224" s="256"/>
    </row>
    <row r="225" spans="5:5">
      <c r="E225" s="256"/>
    </row>
    <row r="226" spans="5:5">
      <c r="E226" s="256"/>
    </row>
    <row r="227" spans="5:5">
      <c r="E227" s="256"/>
    </row>
    <row r="228" spans="5:5">
      <c r="E228" s="256"/>
    </row>
    <row r="229" spans="5:5">
      <c r="E229" s="256"/>
    </row>
    <row r="230" spans="5:5">
      <c r="E230" s="256"/>
    </row>
    <row r="231" spans="5:5">
      <c r="E231" s="256"/>
    </row>
    <row r="232" spans="5:5">
      <c r="E232" s="256"/>
    </row>
    <row r="233" spans="5:5">
      <c r="E233" s="256"/>
    </row>
    <row r="234" spans="5:5">
      <c r="E234" s="256"/>
    </row>
    <row r="235" spans="5:5">
      <c r="E235" s="256"/>
    </row>
    <row r="236" spans="5:5">
      <c r="E236" s="256"/>
    </row>
    <row r="237" spans="5:5">
      <c r="E237" s="256"/>
    </row>
    <row r="238" spans="5:5">
      <c r="E238" s="256"/>
    </row>
    <row r="239" spans="5:5">
      <c r="E239" s="256"/>
    </row>
    <row r="240" spans="5:5">
      <c r="E240" s="256"/>
    </row>
    <row r="241" spans="5:5">
      <c r="E241" s="256"/>
    </row>
    <row r="242" spans="5:5">
      <c r="E242" s="256"/>
    </row>
    <row r="243" spans="5:5">
      <c r="E243" s="256"/>
    </row>
    <row r="244" spans="5:5">
      <c r="E244" s="256"/>
    </row>
    <row r="245" spans="5:5">
      <c r="E245" s="256"/>
    </row>
    <row r="246" spans="5:5">
      <c r="E246" s="256"/>
    </row>
  </sheetData>
  <customSheetViews>
    <customSheetView guid="{2D920366-22B2-4182-A65D-0EDBE614FB37}" showGridLines="0">
      <pane xSplit="3" ySplit="5" topLeftCell="D6" activePane="bottomRight" state="frozen"/>
      <selection pane="bottomRight"/>
      <pageMargins left="0" right="0" top="0" bottom="0" header="0" footer="0"/>
    </customSheetView>
    <customSheetView guid="{F468A2FD-7987-4A9D-8BAE-1AACE523607F}" state="hidden">
      <selection activeCell="D2" sqref="D2"/>
      <pageMargins left="0" right="0" top="0" bottom="0" header="0" footer="0"/>
    </customSheetView>
    <customSheetView guid="{D97B1299-69D0-4EE0-B673-CCF74742F96B}">
      <selection activeCell="I2" sqref="I2:K2"/>
      <pageMargins left="0" right="0" top="0" bottom="0" header="0" footer="0"/>
    </customSheetView>
    <customSheetView guid="{3F0A4FBA-5323-448F-A023-B3E14C54064C}" state="hidden">
      <selection activeCell="C2" sqref="C2:E2"/>
      <pageMargins left="0" right="0" top="0" bottom="0" header="0" footer="0"/>
    </customSheetView>
    <customSheetView guid="{E6EFD927-84B2-4D06-BB59-59D9DF522DA2}" state="hidden">
      <selection activeCell="C2" sqref="C2:E2"/>
      <pageMargins left="0" right="0" top="0" bottom="0" header="0" footer="0"/>
    </customSheetView>
    <customSheetView guid="{0E935136-9A80-44B6-88D5-61E64D742049}" showGridLines="0" state="hidden">
      <pane xSplit="3" ySplit="5" topLeftCell="D6" activePane="bottomRight" state="frozen"/>
      <selection pane="bottomRight" activeCell="I2" sqref="I2:K2"/>
      <pageMargins left="0" right="0" top="0" bottom="0" header="0" footer="0"/>
    </customSheetView>
    <customSheetView guid="{1C16EB38-F785-4168-9938-104594734038}" showGridLines="0" state="hidden">
      <pane xSplit="3" ySplit="5" topLeftCell="D6" activePane="bottomRight" state="frozen"/>
      <selection pane="bottomRight" activeCell="C2" sqref="C2:E2"/>
      <pageMargins left="0" right="0" top="0" bottom="0" header="0" footer="0"/>
    </customSheetView>
    <customSheetView guid="{EECBF9DF-6D77-4263-85DA-71E40216BADD}" state="hidden">
      <selection activeCell="C2" sqref="C2:E2"/>
      <pageMargins left="0" right="0" top="0" bottom="0" header="0" footer="0"/>
    </customSheetView>
    <customSheetView guid="{F03309BC-D3FA-4CF2-833B-D6D9A95FE1FB}" state="hidden">
      <selection activeCell="D2" sqref="D2"/>
      <pageMargins left="0" right="0" top="0" bottom="0" header="0" footer="0"/>
    </customSheetView>
  </customSheetViews>
  <mergeCells count="1">
    <mergeCell ref="I2:K2"/>
  </mergeCells>
  <dataValidations count="5">
    <dataValidation type="decimal" operator="greaterThan" allowBlank="1" showInputMessage="1" showErrorMessage="1" errorTitle="Negative intensity reported" error="GHG emissions intensities for inputs must be reported as non-negative, i.e. negative intensity inputs should report zero" sqref="S68:T76 S8:T59" xr:uid="{A39B4FA4-0CC4-4BD4-9AFB-79515B963CD1}">
      <formula1>0</formula1>
    </dataValidation>
    <dataValidation type="custom" allowBlank="1" showInputMessage="1" showErrorMessage="1" error="Please do not change this formula" sqref="O5:R5" xr:uid="{011F81F0-D45A-4C0B-9ED7-57E127690B7D}">
      <formula1>"Please do not change this formula"</formula1>
    </dataValidation>
    <dataValidation type="custom" allowBlank="1" showInputMessage="1" showErrorMessage="1" error="Please do not change" sqref="R9:R13" xr:uid="{ED5E17C8-60AB-4CE6-B8A3-63527F10E6B8}">
      <formula1>"Please do not change"</formula1>
    </dataValidation>
    <dataValidation type="custom" allowBlank="1" showInputMessage="1" showErrorMessage="1" error="Please do not change this formula" prompt="Please do not change this formula" sqref="W4 S5:V5 V1:V4 R6:R8 R14:R1048576 O1:R4 N1:N1048576 O6:Q1048576 V6:V1048576" xr:uid="{D72AD28C-0869-4993-895C-CFB2FB5D3EE2}">
      <formula1>"Please do not change this formula"</formula1>
    </dataValidation>
    <dataValidation type="list" allowBlank="1" showInputMessage="1" showErrorMessage="1" sqref="D46:D50 D34:D43 D53:D58 D61:D65 D20:D30 D68:D75 D8 D10:D17" xr:uid="{A6B25155-A0EC-4BFD-A439-C986B8D77D3D}">
      <formula1>Flow_units</formula1>
    </dataValidation>
  </dataValidations>
  <hyperlinks>
    <hyperlink ref="I2:J2" location="GHG_FOSSIL_NG_REFORM_CCS!A1" display="Go to the summary tab of this pathway" xr:uid="{7EF87DF9-12FE-4553-AD75-54514A88BF16}"/>
    <hyperlink ref="I2:K2" location="GHG_ROG_REFORM_CCS!A1" display="Go to the summary GHG worksheet" xr:uid="{06A2D5F1-17AE-4E02-9A4F-006C1EE98521}"/>
  </hyperlinks>
  <pageMargins left="0" right="0" top="0" bottom="0" header="0" footer="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3" id="{00000000-000E-0000-2200-000003000000}">
            <xm:f>AND(Path&lt;&gt;Units!$B$130,Master_Switch="On")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4" id="{37010BE8-973B-4CB6-8932-493C2E7D61DE}">
            <xm:f>AND(GHG_ROG_REFORM_CCS!$D$9="Default",Master_Switch="On")</xm:f>
            <x14:dxf>
              <font>
                <color theme="0"/>
              </font>
              <fill>
                <patternFill>
                  <bgColor theme="0"/>
                </patternFill>
              </fill>
              <border>
                <left/>
                <right/>
                <top/>
                <bottom/>
              </border>
            </x14:dxf>
          </x14:cfRule>
          <xm:sqref>A21:XFD30</xm:sqref>
        </x14:conditionalFormatting>
        <x14:conditionalFormatting xmlns:xm="http://schemas.microsoft.com/office/excel/2006/main">
          <x14:cfRule type="expression" priority="2" id="{122E4EA9-34A2-4067-96F9-F0DEEB758EF3}">
            <xm:f>AND(GHG_ROG_REFORM_CCS!$D$10="Default",Master_Switch="On")</xm:f>
            <x14:dxf>
              <font>
                <color theme="0"/>
              </font>
              <fill>
                <patternFill>
                  <bgColor theme="0"/>
                </patternFill>
              </fill>
              <border>
                <left/>
                <right/>
                <top/>
                <bottom/>
                <vertical/>
                <horizontal/>
              </border>
            </x14:dxf>
          </x14:cfRule>
          <xm:sqref>A34:XFD43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902EE1A9-45A7-402A-9F44-7C44E5D01A5D}">
          <x14:formula1>
            <xm:f>Units!$Z$120</xm:f>
          </x14:formula1>
          <xm:sqref>D9</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CCCDF-8EBF-4A78-A745-9C901DED46CE}">
  <sheetPr codeName="Sheet45">
    <tabColor rgb="FFFF9900"/>
  </sheetPr>
  <dimension ref="A1:AC190"/>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7" style="12" customWidth="1"/>
    <col min="5" max="5" width="16.453125" style="55"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18.26953125" customWidth="1"/>
    <col min="16" max="16" width="7.1796875" style="12" customWidth="1"/>
    <col min="17" max="17" width="18.81640625" style="12" customWidth="1"/>
    <col min="18" max="18" width="17.54296875" style="12" customWidth="1"/>
    <col min="19" max="20" width="20.7265625" style="13" customWidth="1"/>
    <col min="21" max="21" width="22.7265625" style="13" customWidth="1"/>
    <col min="22" max="22" width="20.26953125" style="39" customWidth="1"/>
    <col min="23" max="23" width="7.1796875" style="12" customWidth="1"/>
    <col min="24" max="24" width="26" style="12" customWidth="1"/>
    <col min="26" max="16384" width="7.1796875" style="12"/>
  </cols>
  <sheetData>
    <row r="1" spans="1:29" ht="31.9" customHeight="1">
      <c r="A1" s="80" t="str">
        <f>IF(AND(Path&lt;&gt;Units!$B$131,Path&lt;&gt;Units!$B$132,Path&lt;&gt;Units!$B$133,Path&lt;&gt;Units!$B$134,Master_Switch="On"),"User should not fill in this sheet, but switch to other non-blank GHG worksheets","")</f>
        <v>User should not fill in this sheet, but switch to other non-blank GHG worksheets</v>
      </c>
      <c r="E1" s="256"/>
    </row>
    <row r="2" spans="1:29" ht="20.5" customHeight="1">
      <c r="B2" s="80" t="str">
        <f>IF(AND(Initial_questions!$E$68&lt;&gt;"Cereals and other starch-rich crops", Initial_questions!$E$68&lt;&gt;"Sugar crops", Initial_questions!$E$68&lt;&gt;"Oil crops", Initial_questions!$E$68&lt;&gt;"Other crop/purpose grown feedstock",Master_Switch="On"),"Not a purpose-grown feedstock, move to the next step of the pathway","")</f>
        <v>Not a purpose-grown feedstock, move to the next step of the pathway</v>
      </c>
      <c r="I2" s="729" t="s">
        <v>1093</v>
      </c>
      <c r="J2" s="731"/>
      <c r="K2" s="732"/>
    </row>
    <row r="3" spans="1:29" ht="15" customHeight="1">
      <c r="E3" s="256"/>
    </row>
    <row r="4" spans="1:29" ht="15.65" customHeight="1" thickBot="1">
      <c r="B4" s="3"/>
      <c r="C4" s="3"/>
      <c r="D4" s="3"/>
      <c r="E4" s="455"/>
      <c r="F4" s="3"/>
      <c r="G4" s="3"/>
      <c r="H4" s="1"/>
      <c r="I4" s="1"/>
      <c r="J4" s="1"/>
      <c r="K4" s="1"/>
      <c r="L4" s="1"/>
      <c r="M4" s="1"/>
      <c r="N4" s="37"/>
      <c r="O4" s="1"/>
      <c r="P4" s="3"/>
      <c r="Q4" s="3"/>
      <c r="R4" s="3"/>
      <c r="S4" s="1"/>
      <c r="T4" s="1"/>
      <c r="U4" s="1"/>
      <c r="V4" s="37"/>
      <c r="W4" s="37"/>
      <c r="X4" s="3"/>
    </row>
    <row r="5" spans="1:29"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9" ht="15" thickTop="1">
      <c r="E6" s="457"/>
      <c r="R6"/>
      <c r="S6"/>
      <c r="T6"/>
      <c r="U6"/>
      <c r="V6"/>
    </row>
    <row r="7" spans="1:29">
      <c r="B7" s="145" t="s">
        <v>1097</v>
      </c>
      <c r="C7" s="145"/>
      <c r="D7" s="145"/>
      <c r="E7" s="324"/>
      <c r="F7" s="145"/>
      <c r="G7" s="145"/>
      <c r="H7" s="145"/>
      <c r="I7" s="145"/>
      <c r="J7" s="145"/>
      <c r="K7" s="145"/>
      <c r="L7" s="145"/>
      <c r="M7" s="145"/>
      <c r="N7" s="301"/>
      <c r="R7"/>
      <c r="S7"/>
      <c r="T7"/>
      <c r="U7"/>
      <c r="V7"/>
      <c r="W7" s="19"/>
      <c r="X7" s="19"/>
      <c r="Y7" s="19"/>
      <c r="Z7" s="19"/>
      <c r="AA7" s="19"/>
      <c r="AB7" s="19"/>
      <c r="AC7" s="19"/>
    </row>
    <row r="8" spans="1:29">
      <c r="B8" s="186" t="s">
        <v>1021</v>
      </c>
      <c r="C8" s="184"/>
      <c r="D8" s="179"/>
      <c r="E8" s="306"/>
      <c r="F8" s="21"/>
      <c r="G8" s="21"/>
      <c r="H8" s="20"/>
      <c r="I8" s="463"/>
      <c r="J8" s="302"/>
      <c r="K8" s="302"/>
      <c r="L8" s="302"/>
      <c r="M8" s="302"/>
      <c r="N8" s="242">
        <f t="shared" ref="N8:N17" si="0">IF($D8="MWh/yr (LHV)",$E8,$J8*$E8*(1-$L8)/Conversion_kWh_to_MJ)</f>
        <v>0</v>
      </c>
      <c r="O8" s="12"/>
      <c r="S8" s="35"/>
      <c r="T8" s="35"/>
      <c r="U8" s="35"/>
      <c r="V8" s="242" t="str">
        <f t="shared" ref="V8:V17" si="1">IFERROR(IF(D8="tonnes/yr", $S8*$E8/($N$20*3.6), $T8*$E8*3.6/($N$20*3.6)), "Unfilled fields to left")</f>
        <v>Unfilled fields to left</v>
      </c>
      <c r="X8" s="25"/>
      <c r="Y8" s="12"/>
    </row>
    <row r="9" spans="1:29">
      <c r="B9" s="186" t="s">
        <v>1021</v>
      </c>
      <c r="C9" s="184" t="s">
        <v>1098</v>
      </c>
      <c r="D9" s="179" t="s">
        <v>479</v>
      </c>
      <c r="E9" s="306"/>
      <c r="F9" s="21"/>
      <c r="G9" s="21"/>
      <c r="H9" s="20"/>
      <c r="I9" s="463"/>
      <c r="J9" s="302"/>
      <c r="K9" s="302"/>
      <c r="L9" s="302"/>
      <c r="M9" s="302"/>
      <c r="N9" s="242">
        <f t="shared" si="0"/>
        <v>0</v>
      </c>
      <c r="O9" s="12"/>
      <c r="S9" s="35" t="str">
        <f t="shared" ref="S9:S16" si="2">IF(B9="", "", IF(D9="MWh/yr (LHV)", "Use column to right", "Enter data here"))</f>
        <v>Use column to right</v>
      </c>
      <c r="T9" s="35" t="e">
        <f>INDEX(Proj_grid_intensity_kWh,MATCH(Operations_year,Proj_grid_year,0))/Conversion_kWh_to_MJ</f>
        <v>#N/A</v>
      </c>
      <c r="U9" s="35" t="s">
        <v>1064</v>
      </c>
      <c r="V9" s="242" t="str">
        <f t="shared" si="1"/>
        <v>Unfilled fields to left</v>
      </c>
      <c r="X9" s="25"/>
      <c r="Y9" s="12"/>
    </row>
    <row r="10" spans="1:29">
      <c r="B10" s="186" t="s">
        <v>1042</v>
      </c>
      <c r="C10" s="184" t="s">
        <v>1043</v>
      </c>
      <c r="D10" s="179" t="s">
        <v>459</v>
      </c>
      <c r="E10" s="306"/>
      <c r="F10" s="21"/>
      <c r="G10" s="21"/>
      <c r="H10" s="20"/>
      <c r="I10" s="463"/>
      <c r="J10" s="302"/>
      <c r="K10" s="302"/>
      <c r="L10" s="302"/>
      <c r="M10" s="302"/>
      <c r="N10" s="242">
        <f t="shared" si="0"/>
        <v>0</v>
      </c>
      <c r="O10" s="12"/>
      <c r="S10" s="35" t="str">
        <f t="shared" si="2"/>
        <v>Enter data here</v>
      </c>
      <c r="T10" s="35" t="str">
        <f t="shared" ref="T10:T16" si="3">IF(B10="", "", IF(D10="MWh/yr (LHV)", "Enter data here", "Use column to left"))</f>
        <v>Use column to left</v>
      </c>
      <c r="U10" s="35" t="s">
        <v>1100</v>
      </c>
      <c r="V10" s="242" t="str">
        <f t="shared" si="1"/>
        <v>Unfilled fields to left</v>
      </c>
      <c r="X10" s="25"/>
      <c r="Y10" s="12"/>
    </row>
    <row r="11" spans="1:29">
      <c r="B11" s="186" t="s">
        <v>1042</v>
      </c>
      <c r="C11" s="184" t="s">
        <v>1045</v>
      </c>
      <c r="D11" s="179" t="s">
        <v>459</v>
      </c>
      <c r="E11" s="306"/>
      <c r="F11" s="21"/>
      <c r="G11" s="21"/>
      <c r="H11" s="20"/>
      <c r="I11" s="463"/>
      <c r="J11" s="302"/>
      <c r="K11" s="302"/>
      <c r="L11" s="302"/>
      <c r="M11" s="302"/>
      <c r="N11" s="242">
        <f t="shared" si="0"/>
        <v>0</v>
      </c>
      <c r="O11" s="12"/>
      <c r="S11" s="35" t="str">
        <f t="shared" si="2"/>
        <v>Enter data here</v>
      </c>
      <c r="T11" s="35" t="str">
        <f t="shared" si="3"/>
        <v>Use column to left</v>
      </c>
      <c r="U11" s="35" t="s">
        <v>1100</v>
      </c>
      <c r="V11" s="242" t="str">
        <f t="shared" si="1"/>
        <v>Unfilled fields to left</v>
      </c>
      <c r="X11" s="25"/>
      <c r="Y11" s="12"/>
    </row>
    <row r="12" spans="1:29">
      <c r="B12" s="186" t="s">
        <v>1051</v>
      </c>
      <c r="C12" s="184" t="s">
        <v>1176</v>
      </c>
      <c r="D12" s="179" t="s">
        <v>459</v>
      </c>
      <c r="E12" s="306"/>
      <c r="F12" s="21"/>
      <c r="G12" s="21"/>
      <c r="H12" s="20"/>
      <c r="I12" s="463"/>
      <c r="J12" s="302"/>
      <c r="K12" s="302"/>
      <c r="L12" s="302"/>
      <c r="M12" s="302"/>
      <c r="N12" s="242">
        <f t="shared" si="0"/>
        <v>0</v>
      </c>
      <c r="O12" s="12"/>
      <c r="S12" s="35" t="str">
        <f t="shared" si="2"/>
        <v>Enter data here</v>
      </c>
      <c r="T12" s="35" t="str">
        <f t="shared" si="3"/>
        <v>Use column to left</v>
      </c>
      <c r="U12" s="35" t="s">
        <v>1100</v>
      </c>
      <c r="V12" s="242" t="str">
        <f t="shared" si="1"/>
        <v>Unfilled fields to left</v>
      </c>
      <c r="X12" s="25"/>
      <c r="Y12" s="12"/>
    </row>
    <row r="13" spans="1:29">
      <c r="B13" s="186" t="s">
        <v>1177</v>
      </c>
      <c r="C13" s="184" t="s">
        <v>1178</v>
      </c>
      <c r="D13" s="179" t="s">
        <v>459</v>
      </c>
      <c r="E13" s="306"/>
      <c r="F13" s="21"/>
      <c r="G13" s="21"/>
      <c r="H13" s="20"/>
      <c r="I13" s="463"/>
      <c r="J13" s="302"/>
      <c r="K13" s="302"/>
      <c r="L13" s="302"/>
      <c r="M13" s="302"/>
      <c r="N13" s="242">
        <f t="shared" si="0"/>
        <v>0</v>
      </c>
      <c r="O13" s="12"/>
      <c r="S13" s="35" t="str">
        <f t="shared" si="2"/>
        <v>Enter data here</v>
      </c>
      <c r="T13" s="35" t="str">
        <f t="shared" si="3"/>
        <v>Use column to left</v>
      </c>
      <c r="U13" s="35" t="s">
        <v>1100</v>
      </c>
      <c r="V13" s="242" t="str">
        <f t="shared" si="1"/>
        <v>Unfilled fields to left</v>
      </c>
      <c r="X13" s="25"/>
      <c r="Y13" s="12"/>
    </row>
    <row r="14" spans="1:29">
      <c r="B14" s="186" t="s">
        <v>1102</v>
      </c>
      <c r="C14" s="184" t="s">
        <v>1055</v>
      </c>
      <c r="D14" s="179" t="s">
        <v>459</v>
      </c>
      <c r="E14" s="306"/>
      <c r="F14" s="21"/>
      <c r="G14" s="21"/>
      <c r="H14" s="20"/>
      <c r="I14" s="463"/>
      <c r="J14" s="302"/>
      <c r="K14" s="302"/>
      <c r="L14" s="302"/>
      <c r="M14" s="302"/>
      <c r="N14" s="242">
        <f t="shared" si="0"/>
        <v>0</v>
      </c>
      <c r="O14" s="12"/>
      <c r="S14" s="35" t="str">
        <f t="shared" si="2"/>
        <v>Enter data here</v>
      </c>
      <c r="T14" s="35" t="str">
        <f t="shared" si="3"/>
        <v>Use column to left</v>
      </c>
      <c r="U14" s="35" t="s">
        <v>1100</v>
      </c>
      <c r="V14" s="242" t="str">
        <f t="shared" si="1"/>
        <v>Unfilled fields to left</v>
      </c>
      <c r="X14" s="25"/>
      <c r="Y14" s="12"/>
    </row>
    <row r="15" spans="1:29">
      <c r="B15" s="16"/>
      <c r="C15" s="15"/>
      <c r="D15" s="179"/>
      <c r="E15" s="306"/>
      <c r="F15" s="21"/>
      <c r="G15" s="21"/>
      <c r="H15" s="20"/>
      <c r="I15" s="463"/>
      <c r="J15" s="302"/>
      <c r="K15" s="302"/>
      <c r="L15" s="302"/>
      <c r="M15" s="302"/>
      <c r="N15" s="242">
        <f t="shared" si="0"/>
        <v>0</v>
      </c>
      <c r="O15" s="12"/>
      <c r="S15" s="35" t="str">
        <f t="shared" si="2"/>
        <v/>
      </c>
      <c r="T15" s="35" t="str">
        <f t="shared" si="3"/>
        <v/>
      </c>
      <c r="U15" s="35"/>
      <c r="V15" s="242" t="str">
        <f t="shared" si="1"/>
        <v>Unfilled fields to left</v>
      </c>
      <c r="X15" s="25"/>
      <c r="Y15" s="12"/>
    </row>
    <row r="16" spans="1:29">
      <c r="B16" s="16"/>
      <c r="C16" s="15"/>
      <c r="D16" s="179"/>
      <c r="E16" s="306"/>
      <c r="F16" s="21"/>
      <c r="G16" s="21"/>
      <c r="H16" s="20"/>
      <c r="I16" s="463"/>
      <c r="J16" s="302"/>
      <c r="K16" s="302"/>
      <c r="L16" s="302"/>
      <c r="M16" s="302"/>
      <c r="N16" s="242">
        <f t="shared" si="0"/>
        <v>0</v>
      </c>
      <c r="O16" s="12"/>
      <c r="S16" s="35" t="str">
        <f t="shared" si="2"/>
        <v/>
      </c>
      <c r="T16" s="35" t="str">
        <f t="shared" si="3"/>
        <v/>
      </c>
      <c r="U16" s="35"/>
      <c r="V16" s="242" t="str">
        <f t="shared" si="1"/>
        <v>Unfilled fields to left</v>
      </c>
      <c r="X16" s="25"/>
      <c r="Y16" s="12"/>
    </row>
    <row r="17" spans="2:29">
      <c r="B17" s="16"/>
      <c r="C17" s="15"/>
      <c r="D17" s="179"/>
      <c r="E17" s="306"/>
      <c r="F17" s="21"/>
      <c r="G17" s="21"/>
      <c r="H17" s="20"/>
      <c r="I17" s="463"/>
      <c r="J17" s="302"/>
      <c r="K17" s="302"/>
      <c r="L17" s="302"/>
      <c r="M17" s="302"/>
      <c r="N17" s="242">
        <f t="shared" si="0"/>
        <v>0</v>
      </c>
      <c r="O17" s="12"/>
      <c r="S17" s="302"/>
      <c r="T17" s="302"/>
      <c r="U17" s="302"/>
      <c r="V17" s="242" t="str">
        <f t="shared" si="1"/>
        <v>Unfilled fields to left</v>
      </c>
      <c r="X17" s="25"/>
      <c r="Y17" s="12"/>
    </row>
    <row r="18" spans="2:29">
      <c r="C18" s="17"/>
      <c r="D18" s="17"/>
      <c r="E18" s="506"/>
      <c r="F18" s="26"/>
      <c r="G18" s="26"/>
      <c r="H18" s="22"/>
      <c r="I18" s="22"/>
      <c r="J18" s="41"/>
      <c r="K18" s="41"/>
      <c r="L18" s="41"/>
      <c r="M18" s="41"/>
      <c r="N18" s="41"/>
      <c r="O18" s="12"/>
      <c r="S18" s="41"/>
      <c r="T18" s="41"/>
      <c r="U18" s="41"/>
      <c r="V18" s="41"/>
      <c r="X18" s="27"/>
      <c r="Y18" s="12"/>
    </row>
    <row r="19" spans="2:29">
      <c r="B19" s="145" t="s">
        <v>1103</v>
      </c>
      <c r="C19" s="145"/>
      <c r="D19" s="145"/>
      <c r="E19" s="493"/>
      <c r="F19" s="464"/>
      <c r="G19" s="464"/>
      <c r="H19" s="464"/>
      <c r="I19" s="464"/>
      <c r="J19" s="493"/>
      <c r="K19" s="493"/>
      <c r="L19" s="301"/>
      <c r="M19" s="301"/>
      <c r="N19" s="301"/>
      <c r="R19"/>
      <c r="S19" s="40"/>
      <c r="T19" s="40"/>
      <c r="U19" s="40"/>
      <c r="V19" s="40"/>
      <c r="W19" s="19"/>
      <c r="X19" s="19"/>
      <c r="Y19" s="19"/>
      <c r="Z19" s="19"/>
      <c r="AA19" s="19"/>
      <c r="AB19" s="19"/>
      <c r="AC19" s="19"/>
    </row>
    <row r="20" spans="2:29">
      <c r="B20" s="16" t="s">
        <v>1104</v>
      </c>
      <c r="C20" s="184" t="s">
        <v>1179</v>
      </c>
      <c r="D20" s="179" t="s">
        <v>459</v>
      </c>
      <c r="E20" s="306"/>
      <c r="F20" s="21"/>
      <c r="G20" s="21"/>
      <c r="H20" s="21"/>
      <c r="I20" s="21"/>
      <c r="J20" s="302"/>
      <c r="K20" s="306"/>
      <c r="L20" s="306"/>
      <c r="M20" s="306"/>
      <c r="N20" s="242">
        <f t="shared" ref="N20:N32" si="4">IF($D20="MWh/yr (LHV)",$E20,$J20*$E20*(1-$L20)/Conversion_kWh_to_MJ)</f>
        <v>0</v>
      </c>
      <c r="O20" s="246" t="s">
        <v>868</v>
      </c>
      <c r="Q20" s="515">
        <f>IF($D20="MWh/yr (LHV)",$E20,$E20*MAX(0, $J20*(1-$L20)-2.441*$L20)/Conversion_kWh_to_MJ)</f>
        <v>0</v>
      </c>
      <c r="R20" s="245" t="str">
        <f>IFERROR(Q20/(SUM($Q$20:$Q$22)),"")</f>
        <v/>
      </c>
      <c r="S20" s="42"/>
      <c r="T20" s="42"/>
      <c r="U20" s="42"/>
      <c r="V20" s="42"/>
      <c r="X20" s="21"/>
      <c r="Y20" s="12"/>
    </row>
    <row r="21" spans="2:29" s="14" customFormat="1">
      <c r="B21" s="186" t="s">
        <v>1008</v>
      </c>
      <c r="C21" s="184" t="s">
        <v>1106</v>
      </c>
      <c r="D21" s="179" t="s">
        <v>459</v>
      </c>
      <c r="E21" s="306"/>
      <c r="F21" s="21"/>
      <c r="G21" s="21"/>
      <c r="H21" s="20"/>
      <c r="I21" s="20"/>
      <c r="J21" s="302"/>
      <c r="K21" s="302"/>
      <c r="L21" s="302"/>
      <c r="M21" s="302"/>
      <c r="N21" s="242">
        <f t="shared" si="4"/>
        <v>0</v>
      </c>
      <c r="O21" s="12"/>
      <c r="P21" s="12"/>
      <c r="Q21" s="515">
        <f>IF($D21="MWh/yr (LHV)",$E21,$E21*MAX(0, $J21*(1-$L21)-2.441*$L21)/Conversion_kWh_to_MJ)</f>
        <v>0</v>
      </c>
      <c r="R21" s="245" t="str">
        <f t="shared" ref="R21:R22" si="5">IFERROR(Q21/(SUM($Q$20:$Q$22)),"")</f>
        <v/>
      </c>
      <c r="S21" s="42"/>
      <c r="T21" s="42"/>
      <c r="U21" s="107"/>
      <c r="V21" s="12"/>
      <c r="W21" s="23"/>
      <c r="X21" s="21"/>
      <c r="Y21" s="23"/>
      <c r="Z21" s="42"/>
      <c r="AB21" s="12"/>
    </row>
    <row r="22" spans="2:29" s="14" customFormat="1">
      <c r="B22" s="186" t="s">
        <v>1008</v>
      </c>
      <c r="C22" s="184" t="s">
        <v>1107</v>
      </c>
      <c r="D22" s="179" t="s">
        <v>459</v>
      </c>
      <c r="E22" s="306"/>
      <c r="F22" s="21"/>
      <c r="G22" s="21"/>
      <c r="H22" s="20"/>
      <c r="I22" s="20"/>
      <c r="J22" s="302"/>
      <c r="K22" s="302"/>
      <c r="L22" s="302"/>
      <c r="M22" s="302"/>
      <c r="N22" s="242">
        <f t="shared" si="4"/>
        <v>0</v>
      </c>
      <c r="O22" s="12"/>
      <c r="P22" s="12"/>
      <c r="Q22" s="515">
        <f>IF($D22="MWh/yr (LHV)",$E22,$E22*MAX(0, $J22*(1-$L22)-2.441*$L22)/Conversion_kWh_to_MJ)</f>
        <v>0</v>
      </c>
      <c r="R22" s="245" t="str">
        <f t="shared" si="5"/>
        <v/>
      </c>
      <c r="S22" s="42"/>
      <c r="T22" s="42"/>
      <c r="U22" s="107"/>
      <c r="V22" s="12"/>
      <c r="W22" s="23"/>
      <c r="X22" s="21"/>
      <c r="Y22" s="23"/>
      <c r="Z22" s="42"/>
      <c r="AB22" s="12"/>
    </row>
    <row r="23" spans="2:29" s="14" customFormat="1">
      <c r="B23" s="186" t="s">
        <v>1013</v>
      </c>
      <c r="C23" s="184" t="s">
        <v>1108</v>
      </c>
      <c r="D23" s="179" t="s">
        <v>459</v>
      </c>
      <c r="E23" s="306"/>
      <c r="F23" s="21"/>
      <c r="G23" s="21"/>
      <c r="H23" s="20"/>
      <c r="I23" s="20"/>
      <c r="J23" s="302"/>
      <c r="K23" s="302"/>
      <c r="L23" s="302"/>
      <c r="M23" s="302"/>
      <c r="N23" s="242">
        <f t="shared" si="4"/>
        <v>0</v>
      </c>
      <c r="O23" s="12"/>
      <c r="P23" s="12"/>
      <c r="Q23" s="12"/>
      <c r="R23" s="12"/>
      <c r="S23" s="107"/>
      <c r="T23" s="107"/>
      <c r="U23" s="107"/>
      <c r="V23" s="12"/>
      <c r="W23" s="23"/>
      <c r="X23" s="21"/>
      <c r="Y23" s="23"/>
      <c r="Z23" s="42"/>
      <c r="AB23" s="12"/>
    </row>
    <row r="24" spans="2:29" s="14" customFormat="1">
      <c r="B24" s="186" t="s">
        <v>1013</v>
      </c>
      <c r="C24" s="184" t="s">
        <v>1015</v>
      </c>
      <c r="D24" s="179" t="s">
        <v>459</v>
      </c>
      <c r="E24" s="306"/>
      <c r="F24" s="21"/>
      <c r="G24" s="21"/>
      <c r="H24" s="20"/>
      <c r="I24" s="20"/>
      <c r="J24" s="302"/>
      <c r="K24" s="302"/>
      <c r="L24" s="302"/>
      <c r="M24" s="302"/>
      <c r="N24" s="242">
        <f t="shared" si="4"/>
        <v>0</v>
      </c>
      <c r="O24" s="12"/>
      <c r="P24" s="12"/>
      <c r="Q24" s="12"/>
      <c r="R24" s="12"/>
      <c r="S24" s="107"/>
      <c r="T24" s="107"/>
      <c r="U24" s="107"/>
      <c r="V24" s="12"/>
      <c r="W24" s="23"/>
      <c r="X24" s="21"/>
      <c r="Y24" s="23"/>
      <c r="Z24" s="42"/>
      <c r="AB24" s="12"/>
    </row>
    <row r="25" spans="2:29" s="14" customFormat="1">
      <c r="B25" s="186" t="s">
        <v>1016</v>
      </c>
      <c r="C25" s="184" t="s">
        <v>1017</v>
      </c>
      <c r="D25" s="179" t="s">
        <v>459</v>
      </c>
      <c r="E25" s="306"/>
      <c r="F25" s="21"/>
      <c r="G25" s="21"/>
      <c r="H25" s="20"/>
      <c r="I25" s="463"/>
      <c r="J25" s="302"/>
      <c r="K25" s="302"/>
      <c r="L25" s="302"/>
      <c r="M25" s="302"/>
      <c r="N25" s="242">
        <f t="shared" si="4"/>
        <v>0</v>
      </c>
      <c r="O25" s="12"/>
      <c r="P25" s="12"/>
      <c r="Q25" s="12"/>
      <c r="R25" s="12"/>
      <c r="S25" s="107"/>
      <c r="T25" s="107"/>
      <c r="U25" s="107"/>
      <c r="V25" s="12"/>
      <c r="X25" s="21"/>
    </row>
    <row r="26" spans="2:29" s="14" customFormat="1">
      <c r="B26" s="186" t="s">
        <v>1016</v>
      </c>
      <c r="C26" s="184" t="s">
        <v>1018</v>
      </c>
      <c r="D26" s="179" t="s">
        <v>459</v>
      </c>
      <c r="E26" s="306"/>
      <c r="F26" s="21"/>
      <c r="G26" s="21"/>
      <c r="H26" s="20"/>
      <c r="I26" s="463"/>
      <c r="J26" s="302"/>
      <c r="K26" s="302"/>
      <c r="L26" s="302"/>
      <c r="M26" s="302"/>
      <c r="N26" s="242">
        <f t="shared" si="4"/>
        <v>0</v>
      </c>
      <c r="O26" s="12"/>
      <c r="P26" s="12"/>
      <c r="Q26" s="12"/>
      <c r="R26" s="12"/>
      <c r="S26" s="107"/>
      <c r="T26" s="107"/>
      <c r="U26" s="107"/>
      <c r="V26" s="12"/>
      <c r="X26" s="21"/>
    </row>
    <row r="27" spans="2:29" s="14" customFormat="1">
      <c r="B27" s="186" t="s">
        <v>1180</v>
      </c>
      <c r="C27" s="184" t="s">
        <v>1181</v>
      </c>
      <c r="D27" s="179" t="s">
        <v>459</v>
      </c>
      <c r="E27" s="306"/>
      <c r="F27" s="465"/>
      <c r="G27" s="21"/>
      <c r="H27" s="20"/>
      <c r="I27" s="463"/>
      <c r="J27" s="302"/>
      <c r="K27" s="302"/>
      <c r="L27" s="302"/>
      <c r="M27" s="302"/>
      <c r="N27" s="242">
        <f t="shared" si="4"/>
        <v>0</v>
      </c>
      <c r="O27" s="12"/>
      <c r="P27" s="12"/>
      <c r="Q27" s="12"/>
      <c r="R27" s="12"/>
      <c r="S27" s="528">
        <f>1*1000</f>
        <v>1000</v>
      </c>
      <c r="T27" s="477"/>
      <c r="U27" s="530" t="s">
        <v>1059</v>
      </c>
      <c r="V27" s="242" t="str">
        <f t="shared" ref="V27:V32" si="6">IFERROR(IF(D27="tonnes/yr", $S27*$E27/($N$20*3.6), $T27*$E27*3.6/($N$20*3.6)), "Unfilled fields to left")</f>
        <v>Unfilled fields to left</v>
      </c>
      <c r="X27" s="21"/>
    </row>
    <row r="28" spans="2:29" s="14" customFormat="1">
      <c r="B28" s="186" t="s">
        <v>1180</v>
      </c>
      <c r="C28" s="184" t="s">
        <v>1182</v>
      </c>
      <c r="D28" s="179" t="s">
        <v>459</v>
      </c>
      <c r="E28" s="306"/>
      <c r="F28" s="465"/>
      <c r="G28" s="21"/>
      <c r="H28" s="20"/>
      <c r="I28" s="463"/>
      <c r="J28" s="302"/>
      <c r="K28" s="302"/>
      <c r="L28" s="302"/>
      <c r="M28" s="302"/>
      <c r="N28" s="242">
        <f t="shared" si="4"/>
        <v>0</v>
      </c>
      <c r="O28" s="12"/>
      <c r="P28" s="12"/>
      <c r="Q28" s="12"/>
      <c r="R28" s="12"/>
      <c r="S28" s="528">
        <f>1*1000</f>
        <v>1000</v>
      </c>
      <c r="T28" s="477"/>
      <c r="U28" s="530" t="s">
        <v>1059</v>
      </c>
      <c r="V28" s="242" t="str">
        <f t="shared" si="6"/>
        <v>Unfilled fields to left</v>
      </c>
      <c r="X28" s="21"/>
    </row>
    <row r="29" spans="2:29" s="14" customFormat="1">
      <c r="B29" s="186" t="s">
        <v>1113</v>
      </c>
      <c r="C29" s="184" t="s">
        <v>1183</v>
      </c>
      <c r="D29" s="179" t="s">
        <v>459</v>
      </c>
      <c r="E29" s="306"/>
      <c r="F29" s="465"/>
      <c r="G29" s="21"/>
      <c r="H29" s="20"/>
      <c r="I29" s="463"/>
      <c r="J29" s="302"/>
      <c r="K29" s="302"/>
      <c r="L29" s="302"/>
      <c r="M29" s="302"/>
      <c r="N29" s="242">
        <f t="shared" si="4"/>
        <v>0</v>
      </c>
      <c r="O29" s="12"/>
      <c r="P29" s="12"/>
      <c r="Q29" s="12"/>
      <c r="R29" s="12"/>
      <c r="S29" s="528">
        <f>28*1000</f>
        <v>28000</v>
      </c>
      <c r="T29" s="477"/>
      <c r="U29" s="530" t="s">
        <v>1059</v>
      </c>
      <c r="V29" s="242" t="str">
        <f t="shared" si="6"/>
        <v>Unfilled fields to left</v>
      </c>
      <c r="X29" s="21"/>
    </row>
    <row r="30" spans="2:29" s="14" customFormat="1">
      <c r="B30" s="186" t="s">
        <v>1113</v>
      </c>
      <c r="C30" s="184" t="s">
        <v>1075</v>
      </c>
      <c r="D30" s="179" t="s">
        <v>459</v>
      </c>
      <c r="E30" s="306"/>
      <c r="F30" s="21"/>
      <c r="G30" s="21"/>
      <c r="H30" s="20"/>
      <c r="I30" s="463"/>
      <c r="J30" s="302"/>
      <c r="K30" s="302"/>
      <c r="L30" s="302"/>
      <c r="M30" s="302"/>
      <c r="N30" s="242">
        <f t="shared" si="4"/>
        <v>0</v>
      </c>
      <c r="O30" s="12"/>
      <c r="P30" s="12"/>
      <c r="Q30" s="12"/>
      <c r="R30" s="12"/>
      <c r="S30" s="528">
        <v>265000</v>
      </c>
      <c r="T30" s="477"/>
      <c r="U30" s="530" t="s">
        <v>1059</v>
      </c>
      <c r="V30" s="242" t="str">
        <f t="shared" si="6"/>
        <v>Unfilled fields to left</v>
      </c>
      <c r="X30" s="21"/>
    </row>
    <row r="31" spans="2:29" s="14" customFormat="1">
      <c r="B31" s="16"/>
      <c r="C31" s="15"/>
      <c r="D31" s="179"/>
      <c r="E31" s="306"/>
      <c r="F31" s="21"/>
      <c r="G31" s="21"/>
      <c r="H31" s="20"/>
      <c r="I31" s="463"/>
      <c r="J31" s="302"/>
      <c r="K31" s="302"/>
      <c r="L31" s="302"/>
      <c r="M31" s="302"/>
      <c r="N31" s="242">
        <f t="shared" si="4"/>
        <v>0</v>
      </c>
      <c r="O31" s="12"/>
      <c r="P31" s="12"/>
      <c r="Q31" s="12"/>
      <c r="R31" s="12"/>
      <c r="S31" s="529"/>
      <c r="T31" s="477"/>
      <c r="U31" s="531"/>
      <c r="V31" s="242" t="str">
        <f t="shared" si="6"/>
        <v>Unfilled fields to left</v>
      </c>
      <c r="X31" s="21"/>
    </row>
    <row r="32" spans="2:29" s="14" customFormat="1">
      <c r="B32" s="16"/>
      <c r="C32" s="15"/>
      <c r="D32" s="179"/>
      <c r="E32" s="306"/>
      <c r="F32" s="21"/>
      <c r="G32" s="21"/>
      <c r="H32" s="20"/>
      <c r="I32" s="463"/>
      <c r="J32" s="302"/>
      <c r="K32" s="302"/>
      <c r="L32" s="302"/>
      <c r="M32" s="302"/>
      <c r="N32" s="242">
        <f t="shared" si="4"/>
        <v>0</v>
      </c>
      <c r="O32" s="12"/>
      <c r="P32" s="12"/>
      <c r="Q32" s="12"/>
      <c r="R32" s="12"/>
      <c r="S32" s="529"/>
      <c r="T32" s="477"/>
      <c r="U32" s="531"/>
      <c r="V32" s="242" t="str">
        <f t="shared" si="6"/>
        <v>Unfilled fields to left</v>
      </c>
      <c r="X32" s="21"/>
    </row>
    <row r="33" spans="2:25">
      <c r="C33" s="17"/>
      <c r="D33" s="17"/>
      <c r="E33" s="140"/>
      <c r="F33" s="17"/>
      <c r="H33" s="18"/>
      <c r="I33" s="18"/>
      <c r="J33" s="40"/>
      <c r="K33" s="40"/>
      <c r="L33" s="40"/>
      <c r="M33" s="40"/>
      <c r="N33" s="40"/>
      <c r="O33" s="19"/>
      <c r="P33" s="19"/>
      <c r="Q33" s="19"/>
      <c r="R33" s="19"/>
      <c r="S33" s="40"/>
      <c r="T33" s="40"/>
      <c r="U33" s="40"/>
      <c r="V33" s="40"/>
      <c r="Y33" s="12"/>
    </row>
    <row r="34" spans="2:25">
      <c r="B34" s="145" t="s">
        <v>1184</v>
      </c>
      <c r="C34" s="145"/>
      <c r="D34" s="145"/>
      <c r="E34" s="301"/>
      <c r="F34" s="145"/>
      <c r="G34" s="145"/>
      <c r="H34" s="145"/>
      <c r="I34" s="145"/>
      <c r="J34" s="301"/>
      <c r="K34" s="301"/>
      <c r="L34" s="301"/>
      <c r="M34" s="301"/>
      <c r="N34" s="301"/>
      <c r="O34" s="19"/>
      <c r="P34" s="19"/>
      <c r="Q34" s="19"/>
      <c r="R34" s="19"/>
      <c r="S34" s="40"/>
      <c r="T34" s="40"/>
      <c r="U34" s="40"/>
      <c r="V34" s="40"/>
      <c r="Y34" s="12"/>
    </row>
    <row r="35" spans="2:25" s="19" customFormat="1">
      <c r="B35" s="186" t="s">
        <v>1185</v>
      </c>
      <c r="C35" s="184" t="s">
        <v>1186</v>
      </c>
      <c r="D35" s="179" t="s">
        <v>459</v>
      </c>
      <c r="E35" s="306" t="e">
        <f>E42/E41*E20</f>
        <v>#DIV/0!</v>
      </c>
      <c r="F35" s="24"/>
      <c r="G35" s="21"/>
      <c r="H35" s="20"/>
      <c r="I35" s="20"/>
      <c r="J35" s="300"/>
      <c r="K35" s="302"/>
      <c r="L35" s="302"/>
      <c r="M35" s="302"/>
      <c r="N35" s="567" t="s">
        <v>868</v>
      </c>
      <c r="S35" s="528">
        <f>1*1000</f>
        <v>1000</v>
      </c>
      <c r="T35" s="477"/>
      <c r="U35" s="530" t="s">
        <v>1059</v>
      </c>
      <c r="V35" s="242" t="str">
        <f>IFERROR(IF(D35="tonnes/yr", $S35*$E35/($N$20*3.6), $T35*$E35*3.6/($N$20*3.6)), "Unfilled fields to left")</f>
        <v>Unfilled fields to left</v>
      </c>
      <c r="X35" s="24"/>
    </row>
    <row r="36" spans="2:25" s="19" customFormat="1">
      <c r="B36" s="16"/>
      <c r="C36" s="15"/>
      <c r="D36" s="179"/>
      <c r="E36" s="35"/>
      <c r="F36" s="21"/>
      <c r="G36" s="21"/>
      <c r="H36" s="20"/>
      <c r="I36" s="36"/>
      <c r="J36" s="300"/>
      <c r="K36" s="302"/>
      <c r="L36" s="302"/>
      <c r="M36" s="302"/>
      <c r="N36" s="567" t="s">
        <v>868</v>
      </c>
      <c r="S36" s="529"/>
      <c r="T36" s="516"/>
      <c r="U36" s="531"/>
      <c r="V36" s="242" t="str">
        <f>IFERROR(IF(D36="tonnes/yr", $S36*$E36/($N$20*3.6), $T36*$E36*3.6/($N$20*3.6)), "Unfilled fields to left")</f>
        <v>Unfilled fields to left</v>
      </c>
      <c r="X36" s="25"/>
    </row>
    <row r="37" spans="2:25">
      <c r="C37" s="17"/>
      <c r="D37" s="17"/>
      <c r="E37" s="140"/>
      <c r="F37" s="17"/>
      <c r="H37" s="18"/>
      <c r="I37" s="18"/>
      <c r="J37" s="40"/>
      <c r="K37" s="40"/>
      <c r="L37" s="40"/>
      <c r="M37" s="40"/>
      <c r="N37" s="40"/>
      <c r="O37" s="19"/>
      <c r="P37" s="19"/>
      <c r="Q37" s="19"/>
      <c r="R37" s="19"/>
      <c r="S37" s="40"/>
      <c r="T37" s="40"/>
      <c r="U37" s="40"/>
      <c r="V37" s="40"/>
      <c r="Y37" s="12"/>
    </row>
    <row r="38" spans="2:25">
      <c r="D38" s="17"/>
      <c r="E38" s="140"/>
      <c r="J38" s="39"/>
      <c r="K38" s="39"/>
      <c r="L38" s="40"/>
      <c r="M38" s="40"/>
      <c r="N38" s="40"/>
      <c r="O38" s="19"/>
      <c r="P38" s="19"/>
      <c r="Q38" s="19"/>
      <c r="R38" s="19"/>
      <c r="S38" s="39"/>
      <c r="T38" s="39"/>
      <c r="U38" s="38" t="s">
        <v>1114</v>
      </c>
      <c r="V38" s="153">
        <f>SUM(V7:V37)</f>
        <v>0</v>
      </c>
      <c r="Y38" s="12"/>
    </row>
    <row r="39" spans="2:25">
      <c r="B39" s="145" t="s">
        <v>132</v>
      </c>
      <c r="C39" s="159"/>
      <c r="D39" s="159"/>
      <c r="E39" s="499"/>
      <c r="I39" s="12"/>
      <c r="J39" s="107"/>
      <c r="K39" s="107"/>
      <c r="L39" s="125"/>
      <c r="M39" s="125"/>
      <c r="N39" s="125"/>
      <c r="O39" s="19"/>
      <c r="P39" s="19"/>
      <c r="Q39" s="19"/>
      <c r="R39" s="19"/>
      <c r="S39" s="107"/>
      <c r="T39" s="107"/>
      <c r="U39" s="107"/>
      <c r="Y39" s="12"/>
    </row>
    <row r="40" spans="2:25">
      <c r="B40" s="16" t="s">
        <v>1086</v>
      </c>
      <c r="C40" s="15" t="s">
        <v>1087</v>
      </c>
      <c r="D40" s="15" t="s">
        <v>1088</v>
      </c>
      <c r="E40" s="501"/>
      <c r="G40" s="19"/>
      <c r="H40" s="12"/>
      <c r="I40" s="12"/>
      <c r="J40" s="107"/>
      <c r="K40" s="107"/>
      <c r="L40" s="107"/>
      <c r="M40" s="107"/>
      <c r="N40" s="107"/>
      <c r="O40" s="12"/>
      <c r="S40" s="107"/>
      <c r="T40" s="107"/>
      <c r="U40" s="107"/>
      <c r="V40" s="12"/>
      <c r="X40" s="25"/>
      <c r="Y40" s="12"/>
    </row>
    <row r="41" spans="2:25">
      <c r="B41" s="16" t="s">
        <v>1187</v>
      </c>
      <c r="C41" s="15" t="s">
        <v>1187</v>
      </c>
      <c r="D41" s="15" t="s">
        <v>1188</v>
      </c>
      <c r="E41" s="501"/>
      <c r="H41" s="12"/>
      <c r="I41" s="12"/>
      <c r="J41" s="107"/>
      <c r="K41" s="107"/>
      <c r="L41" s="107"/>
      <c r="M41" s="107"/>
      <c r="N41" s="107"/>
      <c r="O41" s="12"/>
      <c r="S41" s="107"/>
      <c r="T41" s="107"/>
      <c r="U41" s="107"/>
      <c r="V41" s="12"/>
      <c r="X41" s="25"/>
      <c r="Y41" s="12"/>
    </row>
    <row r="42" spans="2:25">
      <c r="B42" s="16" t="s">
        <v>1189</v>
      </c>
      <c r="C42" s="15" t="s">
        <v>1190</v>
      </c>
      <c r="D42" s="15" t="s">
        <v>1191</v>
      </c>
      <c r="E42" s="501"/>
      <c r="J42" s="39"/>
      <c r="K42" s="39"/>
      <c r="L42" s="107"/>
      <c r="M42" s="107"/>
      <c r="N42" s="107"/>
      <c r="O42" s="12"/>
      <c r="S42" s="39"/>
      <c r="T42" s="39"/>
      <c r="U42" s="39"/>
      <c r="X42" s="25"/>
    </row>
    <row r="43" spans="2:25">
      <c r="B43" s="16"/>
      <c r="C43" s="15"/>
      <c r="D43" s="15"/>
      <c r="E43" s="507"/>
      <c r="J43" s="39"/>
      <c r="K43" s="39"/>
      <c r="L43" s="39"/>
      <c r="M43" s="39"/>
      <c r="S43" s="39"/>
      <c r="T43" s="39"/>
      <c r="U43" s="39"/>
      <c r="X43" s="25"/>
    </row>
    <row r="44" spans="2:25">
      <c r="E44" s="107"/>
      <c r="J44" s="39"/>
      <c r="K44" s="39"/>
      <c r="L44" s="39"/>
      <c r="M44" s="39"/>
      <c r="S44" s="39"/>
      <c r="T44" s="39"/>
      <c r="U44" s="39"/>
    </row>
    <row r="45" spans="2:25">
      <c r="E45" s="107"/>
      <c r="J45" s="39"/>
      <c r="K45" s="39"/>
      <c r="L45" s="39"/>
      <c r="M45" s="39"/>
      <c r="S45" s="39"/>
      <c r="T45" s="39"/>
      <c r="U45" s="39"/>
    </row>
    <row r="46" spans="2:25">
      <c r="C46" s="19"/>
      <c r="D46" s="19"/>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L122" s="39"/>
      <c r="M122" s="39"/>
      <c r="S122" s="39"/>
      <c r="T122" s="39"/>
      <c r="U122" s="39"/>
    </row>
    <row r="123" spans="5:21">
      <c r="E123" s="107"/>
      <c r="J123" s="39"/>
      <c r="K123" s="39"/>
      <c r="L123" s="39"/>
      <c r="M123" s="39"/>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E148" s="107"/>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row r="190" spans="19:21">
      <c r="S190" s="39"/>
      <c r="T190" s="39"/>
      <c r="U190"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I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I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35:D36 D8:D17 D20:D32" xr:uid="{DBD1287B-6F0F-4A26-ABA8-794E694BD73F}">
      <formula1>Flow_units</formula1>
    </dataValidation>
    <dataValidation type="custom" allowBlank="1" showInputMessage="1" showErrorMessage="1" error="Please do not change this formula" prompt="Please do not change this formula" sqref="W4 V6:V1048576 V1:V4 R6:R19 P1:R4 O4 P21:P1048576 S5:V5 O6:O20 R23:R1048576 Q20:Q1048576 N1:N34 N37:N1048576" xr:uid="{9DD5289D-20D5-444B-BD08-115CC79F1FBF}">
      <formula1>"Please do not change this formula"</formula1>
    </dataValidation>
    <dataValidation type="custom" allowBlank="1" showInputMessage="1" showErrorMessage="1" error="Please do not change this formula" sqref="O5:R5" xr:uid="{7A700976-B405-4059-8B41-22D849399FB7}">
      <formula1>"Please do not change this formula"</formula1>
    </dataValidation>
    <dataValidation type="custom" allowBlank="1" showInputMessage="1" showErrorMessage="1" error="Please do not change" sqref="R20:R22" xr:uid="{E90C94AB-0046-464F-A4DB-4039B89FA8DA}">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4" xr:uid="{B87C84B0-74F7-40BC-B308-74FE1D565BFE}">
      <formula1>0</formula1>
    </dataValidation>
  </dataValidations>
  <hyperlinks>
    <hyperlink ref="I2:J2" location="'Biogas Feedstock Transport'!A1" display="Go to the next step of this pathway" xr:uid="{1DAE32C7-EFB6-4891-89C4-793D04193670}"/>
    <hyperlink ref="I2:K2" location="Biogas_Feedstock_Harvesting!A1" display="Go to the next step of this pathway" xr:uid="{659E4279-A7C8-486E-96F4-418D425AD763}"/>
  </hyperlinks>
  <pageMargins left="0" right="0" top="0" bottom="0" header="0" footer="0"/>
  <pageSetup paperSize="9" orientation="portrait" r:id="rId10"/>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20" id="{00000000-000E-0000-2300-000014000000}">
            <xm:f>AND(Path&lt;&gt;Units!$B$131,Path&lt;&gt;Units!$B$132,Path&lt;&gt;Units!$B$133,Path&lt;&gt;Units!$B$134,Master_Switch="On")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60" id="{F86659A0-06D3-4EAB-A350-0FC35C35BA46}">
            <xm:f>AND(Initial_questions!$E$68&lt;&gt;"Cereals and other starch-rich crops", Initial_questions!$E$68&lt;&gt;"Sugar crops", Initial_questions!$E$68&lt;&gt;"Oil crops", Initial_questions!$E$68&lt;&gt;"Other crop/purpose grown feedstock",Master_Switch="On")</xm:f>
            <x14:dxf>
              <font>
                <color theme="0"/>
              </font>
              <fill>
                <patternFill>
                  <bgColor theme="0"/>
                </patternFill>
              </fill>
              <border>
                <left/>
                <right/>
                <top/>
                <bottom/>
              </border>
            </x14:dxf>
          </x14:cfRule>
          <xm:sqref>A3:XFD200</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0C5A8-F2C9-42A0-976C-03BEFF6F4FF1}">
  <sheetPr codeName="Sheet46">
    <tabColor rgb="FFFF9900"/>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55"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18.453125" customWidth="1"/>
    <col min="16" max="16" width="8.1796875" style="12" customWidth="1"/>
    <col min="17" max="17" width="18.81640625" style="12" customWidth="1"/>
    <col min="18" max="18" width="17.54296875" style="12" customWidth="1"/>
    <col min="19" max="20" width="20.7265625" style="13" customWidth="1"/>
    <col min="21" max="21" width="22.7265625" style="13" customWidth="1"/>
    <col min="22" max="22" width="20.26953125" style="39" customWidth="1"/>
    <col min="23" max="23" width="7.1796875" style="12" customWidth="1"/>
    <col min="24" max="24" width="26" style="12" customWidth="1"/>
    <col min="26" max="16384" width="7.1796875" style="12"/>
  </cols>
  <sheetData>
    <row r="1" spans="1:29" ht="31.9" customHeight="1">
      <c r="A1" s="80" t="str">
        <f>IF(AND(Path&lt;&gt;Units!$B$131,Path&lt;&gt;Units!$B$132,Path&lt;&gt;Units!$B$133,Path&lt;&gt;Units!$B$134,Master_Switch="On"),"User should not fill in this sheet, but switch to other non-blank GHG worksheets","")</f>
        <v>User should not fill in this sheet, but switch to other non-blank GHG worksheets</v>
      </c>
      <c r="E1" s="256"/>
    </row>
    <row r="2" spans="1:29" ht="20.5" customHeight="1">
      <c r="B2" s="80" t="str">
        <f>IF(AND(Initial_questions!$E$68&lt;&gt;"Cereals and other starch-rich crops", Initial_questions!$E$68&lt;&gt;"Sugar crops", Initial_questions!$E$68&lt;&gt;"Oil crops", Initial_questions!$E$68&lt;&gt;"Other crop/purpose grown feedstock",Master_Switch="On"),"Not a purpose-grown feedstock, move to the next step of the pathway","")</f>
        <v>Not a purpose-grown feedstock, move to the next step of the pathway</v>
      </c>
      <c r="I2" s="729" t="s">
        <v>1093</v>
      </c>
      <c r="J2" s="731"/>
      <c r="K2" s="732"/>
      <c r="L2" s="39"/>
      <c r="M2" s="39"/>
    </row>
    <row r="3" spans="1:29" ht="15" customHeight="1">
      <c r="E3" s="256"/>
    </row>
    <row r="4" spans="1:29" ht="15.65" customHeight="1" thickBot="1">
      <c r="B4" s="3"/>
      <c r="C4" s="3"/>
      <c r="D4" s="3"/>
      <c r="E4" s="455"/>
      <c r="F4" s="3"/>
      <c r="G4" s="3"/>
      <c r="H4" s="1"/>
      <c r="I4" s="1"/>
      <c r="J4" s="1"/>
      <c r="K4" s="1"/>
      <c r="L4" s="1"/>
      <c r="M4" s="1"/>
      <c r="N4" s="37"/>
      <c r="O4" s="1"/>
      <c r="P4" s="3"/>
      <c r="Q4" s="3"/>
      <c r="R4" s="3"/>
      <c r="S4" s="1"/>
      <c r="T4" s="1"/>
      <c r="U4" s="1"/>
      <c r="V4" s="37"/>
      <c r="W4" s="37"/>
      <c r="X4" s="3"/>
    </row>
    <row r="5" spans="1:29"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9" ht="15" thickTop="1">
      <c r="E6" s="457"/>
      <c r="R6"/>
      <c r="S6"/>
      <c r="T6"/>
      <c r="U6"/>
      <c r="V6"/>
    </row>
    <row r="7" spans="1:29">
      <c r="B7" s="145" t="s">
        <v>1097</v>
      </c>
      <c r="C7" s="145"/>
      <c r="D7" s="145"/>
      <c r="E7" s="324"/>
      <c r="F7" s="145"/>
      <c r="G7" s="145"/>
      <c r="H7" s="145"/>
      <c r="I7" s="145"/>
      <c r="J7" s="145"/>
      <c r="K7" s="145"/>
      <c r="L7" s="145"/>
      <c r="M7" s="145"/>
      <c r="N7" s="301"/>
      <c r="R7"/>
      <c r="S7"/>
      <c r="T7"/>
      <c r="U7"/>
      <c r="V7"/>
      <c r="W7" s="19"/>
      <c r="X7" s="19"/>
      <c r="Y7" s="19"/>
      <c r="Z7" s="19"/>
      <c r="AA7" s="19"/>
      <c r="AB7" s="19"/>
      <c r="AC7" s="19"/>
    </row>
    <row r="8" spans="1:29">
      <c r="B8" s="16" t="s">
        <v>1115</v>
      </c>
      <c r="C8" s="184" t="s">
        <v>1179</v>
      </c>
      <c r="D8" s="179" t="s">
        <v>459</v>
      </c>
      <c r="E8" s="35"/>
      <c r="F8" s="21"/>
      <c r="G8" s="21"/>
      <c r="H8" s="20"/>
      <c r="I8" s="20"/>
      <c r="J8" s="300"/>
      <c r="K8" s="302"/>
      <c r="L8" s="302"/>
      <c r="M8" s="302"/>
      <c r="N8" s="242">
        <f t="shared" ref="N8:N17" si="0">IF($D8="MWh/yr (LHV)",$E8,$J8*$E8*(1-$L8)/Conversion_kWh_to_MJ)</f>
        <v>0</v>
      </c>
      <c r="O8" s="12"/>
      <c r="S8" s="107"/>
      <c r="T8" s="107"/>
      <c r="U8" s="107"/>
      <c r="V8" s="12"/>
      <c r="X8" s="24"/>
      <c r="Y8" s="12"/>
    </row>
    <row r="9" spans="1:29">
      <c r="B9" s="186" t="s">
        <v>1021</v>
      </c>
      <c r="C9" s="184" t="s">
        <v>1098</v>
      </c>
      <c r="D9" s="179" t="s">
        <v>479</v>
      </c>
      <c r="E9" s="35"/>
      <c r="F9" s="21"/>
      <c r="G9" s="21"/>
      <c r="H9" s="20"/>
      <c r="I9" s="36"/>
      <c r="J9" s="300"/>
      <c r="K9" s="302"/>
      <c r="L9" s="302"/>
      <c r="M9" s="302"/>
      <c r="N9" s="242">
        <f t="shared" si="0"/>
        <v>0</v>
      </c>
      <c r="O9" s="12"/>
      <c r="S9" s="35" t="str">
        <f>IF(B9="", "", IF(D9="MWh/yr (LHV)", "Use column to right", "Enter data here"))</f>
        <v>Use column to right</v>
      </c>
      <c r="T9" s="35" t="e">
        <f>INDEX(Proj_grid_intensity_kWh,MATCH(Operations_year,Proj_grid_year,0))/Conversion_kWh_to_MJ</f>
        <v>#N/A</v>
      </c>
      <c r="U9" s="35" t="s">
        <v>1064</v>
      </c>
      <c r="V9" s="242" t="str">
        <f t="shared" ref="V9:V17" si="1">IFERROR(IF(D9="tonnes/yr", $S9*$E9/($N$20*3.6), $T9*$E9*3.6/($N$20*3.6)), "Unfilled fields to left")</f>
        <v>Unfilled fields to left</v>
      </c>
      <c r="X9" s="25"/>
      <c r="Y9" s="12"/>
    </row>
    <row r="10" spans="1:29">
      <c r="B10" s="186" t="s">
        <v>1021</v>
      </c>
      <c r="C10" s="184"/>
      <c r="D10" s="179"/>
      <c r="E10" s="35"/>
      <c r="F10" s="21"/>
      <c r="G10" s="21"/>
      <c r="H10" s="20"/>
      <c r="I10" s="36"/>
      <c r="J10" s="300"/>
      <c r="K10" s="302"/>
      <c r="L10" s="302"/>
      <c r="M10" s="302"/>
      <c r="N10" s="242">
        <f t="shared" si="0"/>
        <v>0</v>
      </c>
      <c r="O10" s="12"/>
      <c r="S10" s="35" t="str">
        <f>IF(B10="", "", IF(D10="MWh/yr (LHV)", "Use column to right", "Enter data here"))</f>
        <v>Enter data here</v>
      </c>
      <c r="T10" s="35" t="str">
        <f t="shared" ref="T10" si="2">IF(B10="", "", IF(D10="MWh/yr (LHV)", "Enter data here", "Use column to left"))</f>
        <v>Use column to left</v>
      </c>
      <c r="U10" s="35" t="s">
        <v>1100</v>
      </c>
      <c r="V10" s="242" t="str">
        <f t="shared" si="1"/>
        <v>Unfilled fields to left</v>
      </c>
      <c r="X10" s="25"/>
      <c r="Y10" s="12"/>
    </row>
    <row r="11" spans="1:29">
      <c r="B11" s="186" t="s">
        <v>1042</v>
      </c>
      <c r="C11" s="184" t="s">
        <v>1043</v>
      </c>
      <c r="D11" s="179" t="s">
        <v>459</v>
      </c>
      <c r="E11" s="35"/>
      <c r="F11" s="21"/>
      <c r="G11" s="21"/>
      <c r="H11" s="20"/>
      <c r="I11" s="36"/>
      <c r="J11" s="300"/>
      <c r="K11" s="302"/>
      <c r="L11" s="302"/>
      <c r="M11" s="302"/>
      <c r="N11" s="242">
        <f t="shared" si="0"/>
        <v>0</v>
      </c>
      <c r="O11" s="12"/>
      <c r="S11" s="35" t="str">
        <f t="shared" ref="S11:S16" si="3">IF(B11="", "", IF(D11="MWh/yr (LHV)", "Use column to right", "Enter data here"))</f>
        <v>Enter data here</v>
      </c>
      <c r="T11" s="35" t="str">
        <f t="shared" ref="T11:T16" si="4">IF(B11="", "", IF(D11="MWh/yr (LHV)", "Enter data here", "Use column to left"))</f>
        <v>Use column to left</v>
      </c>
      <c r="U11" s="35" t="s">
        <v>1100</v>
      </c>
      <c r="V11" s="242" t="str">
        <f t="shared" si="1"/>
        <v>Unfilled fields to left</v>
      </c>
      <c r="X11" s="25"/>
      <c r="Y11" s="12"/>
    </row>
    <row r="12" spans="1:29">
      <c r="B12" s="186" t="s">
        <v>1042</v>
      </c>
      <c r="C12" s="184" t="s">
        <v>1045</v>
      </c>
      <c r="D12" s="179" t="s">
        <v>459</v>
      </c>
      <c r="E12" s="35"/>
      <c r="F12" s="21"/>
      <c r="G12" s="21"/>
      <c r="H12" s="20"/>
      <c r="I12" s="36"/>
      <c r="J12" s="300"/>
      <c r="K12" s="302"/>
      <c r="L12" s="302"/>
      <c r="M12" s="302"/>
      <c r="N12" s="242">
        <f t="shared" si="0"/>
        <v>0</v>
      </c>
      <c r="O12" s="12"/>
      <c r="S12" s="35" t="str">
        <f t="shared" si="3"/>
        <v>Enter data here</v>
      </c>
      <c r="T12" s="35" t="str">
        <f t="shared" si="4"/>
        <v>Use column to left</v>
      </c>
      <c r="U12" s="35" t="s">
        <v>1100</v>
      </c>
      <c r="V12" s="242" t="str">
        <f t="shared" si="1"/>
        <v>Unfilled fields to left</v>
      </c>
      <c r="X12" s="25"/>
      <c r="Y12" s="12"/>
    </row>
    <row r="13" spans="1:29">
      <c r="B13" s="186" t="s">
        <v>1051</v>
      </c>
      <c r="C13" s="184"/>
      <c r="D13" s="179"/>
      <c r="E13" s="35"/>
      <c r="F13" s="21"/>
      <c r="G13" s="21"/>
      <c r="H13" s="20"/>
      <c r="I13" s="36"/>
      <c r="J13" s="300"/>
      <c r="K13" s="302"/>
      <c r="L13" s="302"/>
      <c r="M13" s="302"/>
      <c r="N13" s="242">
        <f t="shared" si="0"/>
        <v>0</v>
      </c>
      <c r="O13" s="12"/>
      <c r="S13" s="35" t="str">
        <f t="shared" si="3"/>
        <v>Enter data here</v>
      </c>
      <c r="T13" s="35" t="str">
        <f t="shared" si="4"/>
        <v>Use column to left</v>
      </c>
      <c r="U13" s="35" t="s">
        <v>1100</v>
      </c>
      <c r="V13" s="242" t="str">
        <f t="shared" si="1"/>
        <v>Unfilled fields to left</v>
      </c>
      <c r="X13" s="25"/>
      <c r="Y13" s="12"/>
    </row>
    <row r="14" spans="1:29">
      <c r="B14" s="186" t="s">
        <v>1051</v>
      </c>
      <c r="C14" s="184"/>
      <c r="D14" s="179"/>
      <c r="E14" s="35"/>
      <c r="F14" s="21"/>
      <c r="G14" s="247"/>
      <c r="H14" s="20"/>
      <c r="I14" s="36"/>
      <c r="J14" s="300"/>
      <c r="K14" s="302"/>
      <c r="L14" s="302"/>
      <c r="M14" s="302"/>
      <c r="N14" s="242">
        <f t="shared" si="0"/>
        <v>0</v>
      </c>
      <c r="O14" s="12"/>
      <c r="S14" s="35" t="str">
        <f t="shared" si="3"/>
        <v>Enter data here</v>
      </c>
      <c r="T14" s="35" t="str">
        <f t="shared" si="4"/>
        <v>Use column to left</v>
      </c>
      <c r="U14" s="35" t="s">
        <v>1100</v>
      </c>
      <c r="V14" s="242" t="str">
        <f t="shared" si="1"/>
        <v>Unfilled fields to left</v>
      </c>
      <c r="X14" s="25"/>
      <c r="Y14" s="12"/>
    </row>
    <row r="15" spans="1:29">
      <c r="B15" s="186" t="s">
        <v>1102</v>
      </c>
      <c r="C15" s="184" t="s">
        <v>1055</v>
      </c>
      <c r="D15" s="179" t="s">
        <v>459</v>
      </c>
      <c r="E15" s="35"/>
      <c r="F15" s="21"/>
      <c r="G15" s="21"/>
      <c r="H15" s="20"/>
      <c r="I15" s="36"/>
      <c r="J15" s="300"/>
      <c r="K15" s="302"/>
      <c r="L15" s="302"/>
      <c r="M15" s="302"/>
      <c r="N15" s="242">
        <f t="shared" si="0"/>
        <v>0</v>
      </c>
      <c r="O15" s="12"/>
      <c r="S15" s="35" t="str">
        <f t="shared" si="3"/>
        <v>Enter data here</v>
      </c>
      <c r="T15" s="35" t="str">
        <f t="shared" si="4"/>
        <v>Use column to left</v>
      </c>
      <c r="U15" s="35" t="s">
        <v>1100</v>
      </c>
      <c r="V15" s="242" t="str">
        <f t="shared" si="1"/>
        <v>Unfilled fields to left</v>
      </c>
      <c r="X15" s="25"/>
      <c r="Y15" s="12"/>
    </row>
    <row r="16" spans="1:29">
      <c r="B16" s="186" t="s">
        <v>1102</v>
      </c>
      <c r="C16" s="184"/>
      <c r="D16" s="179"/>
      <c r="E16" s="35"/>
      <c r="F16" s="21"/>
      <c r="G16" s="21"/>
      <c r="H16" s="20"/>
      <c r="I16" s="36"/>
      <c r="J16" s="300"/>
      <c r="K16" s="302"/>
      <c r="L16" s="302"/>
      <c r="M16" s="302"/>
      <c r="N16" s="242">
        <f t="shared" si="0"/>
        <v>0</v>
      </c>
      <c r="O16" s="12"/>
      <c r="S16" s="35" t="str">
        <f t="shared" si="3"/>
        <v>Enter data here</v>
      </c>
      <c r="T16" s="35" t="str">
        <f t="shared" si="4"/>
        <v>Use column to left</v>
      </c>
      <c r="U16" s="35" t="s">
        <v>1100</v>
      </c>
      <c r="V16" s="242" t="str">
        <f t="shared" si="1"/>
        <v>Unfilled fields to left</v>
      </c>
      <c r="X16" s="25"/>
      <c r="Y16" s="12"/>
    </row>
    <row r="17" spans="2:29">
      <c r="B17" s="16"/>
      <c r="C17" s="15"/>
      <c r="D17" s="179"/>
      <c r="E17" s="35"/>
      <c r="F17" s="21"/>
      <c r="G17" s="21"/>
      <c r="H17" s="20"/>
      <c r="I17" s="36"/>
      <c r="J17" s="300"/>
      <c r="K17" s="302"/>
      <c r="L17" s="302"/>
      <c r="M17" s="302"/>
      <c r="N17" s="242">
        <f t="shared" si="0"/>
        <v>0</v>
      </c>
      <c r="O17" s="12"/>
      <c r="S17" s="302"/>
      <c r="T17" s="300"/>
      <c r="U17" s="302"/>
      <c r="V17" s="242" t="str">
        <f t="shared" si="1"/>
        <v>Unfilled fields to left</v>
      </c>
      <c r="X17" s="25"/>
      <c r="Y17" s="12"/>
    </row>
    <row r="18" spans="2:29">
      <c r="C18" s="17"/>
      <c r="D18" s="17"/>
      <c r="E18" s="506"/>
      <c r="F18" s="26"/>
      <c r="G18" s="27"/>
      <c r="H18" s="22"/>
      <c r="I18" s="22"/>
      <c r="J18" s="41"/>
      <c r="K18" s="41"/>
      <c r="L18" s="41"/>
      <c r="M18" s="41"/>
      <c r="N18" s="41"/>
      <c r="O18" s="12"/>
      <c r="S18" s="41"/>
      <c r="T18" s="41"/>
      <c r="U18" s="41"/>
      <c r="V18" s="41"/>
      <c r="X18" s="27"/>
      <c r="Y18" s="12"/>
    </row>
    <row r="19" spans="2:29">
      <c r="B19" s="145" t="s">
        <v>1103</v>
      </c>
      <c r="C19" s="145"/>
      <c r="D19" s="145"/>
      <c r="E19" s="301"/>
      <c r="F19" s="145"/>
      <c r="G19" s="145"/>
      <c r="H19" s="145"/>
      <c r="I19" s="145"/>
      <c r="J19" s="301"/>
      <c r="K19" s="301"/>
      <c r="L19" s="301"/>
      <c r="M19" s="301"/>
      <c r="N19" s="301"/>
      <c r="R19"/>
      <c r="S19" s="40"/>
      <c r="T19" s="40"/>
      <c r="U19" s="40"/>
      <c r="V19" s="40"/>
      <c r="W19" s="19"/>
      <c r="X19" s="19"/>
      <c r="Y19" s="19"/>
      <c r="Z19" s="19"/>
      <c r="AA19" s="19"/>
      <c r="AB19" s="19"/>
      <c r="AC19" s="19"/>
    </row>
    <row r="20" spans="2:29">
      <c r="B20" s="16" t="s">
        <v>1104</v>
      </c>
      <c r="C20" s="184" t="s">
        <v>1179</v>
      </c>
      <c r="D20" s="179" t="s">
        <v>459</v>
      </c>
      <c r="E20" s="35"/>
      <c r="F20" s="21"/>
      <c r="G20" s="21"/>
      <c r="H20" s="21"/>
      <c r="I20" s="21"/>
      <c r="J20" s="300"/>
      <c r="K20" s="306"/>
      <c r="L20" s="306"/>
      <c r="M20" s="306"/>
      <c r="N20" s="242">
        <f t="shared" ref="N20:N31" si="5">IF($D20="MWh/yr (LHV)",$E20,$J20*$E20*(1-$L20)/Conversion_kWh_to_MJ)</f>
        <v>0</v>
      </c>
      <c r="O20" s="246" t="str">
        <f>IFERROR(N20/N8,"")</f>
        <v/>
      </c>
      <c r="Q20" s="515">
        <f>IF($D20="MWh/yr (LHV)",$E20,$E20*MAX(0, $J20*(1-$L20)-2.441*$L20)/Conversion_kWh_to_MJ)</f>
        <v>0</v>
      </c>
      <c r="R20" s="245" t="str">
        <f>IFERROR(Q20/(SUM($Q$20:$Q$22)),"")</f>
        <v/>
      </c>
      <c r="S20" s="42"/>
      <c r="T20" s="42"/>
      <c r="U20" s="42"/>
      <c r="V20" s="42"/>
      <c r="X20" s="21"/>
      <c r="Y20" s="12"/>
    </row>
    <row r="21" spans="2:29" s="14" customFormat="1">
      <c r="B21" s="186" t="s">
        <v>1008</v>
      </c>
      <c r="C21" s="184" t="s">
        <v>1106</v>
      </c>
      <c r="D21" s="179" t="s">
        <v>459</v>
      </c>
      <c r="E21" s="35"/>
      <c r="F21" s="21"/>
      <c r="G21" s="21"/>
      <c r="H21" s="20"/>
      <c r="I21" s="33"/>
      <c r="J21" s="300"/>
      <c r="K21" s="302"/>
      <c r="L21" s="302"/>
      <c r="M21" s="302"/>
      <c r="N21" s="242">
        <f t="shared" si="5"/>
        <v>0</v>
      </c>
      <c r="O21" s="12"/>
      <c r="P21" s="12"/>
      <c r="Q21" s="515">
        <f>IF($D21="MWh/yr (LHV)",$E21,$E21*MAX(0, $J21*(1-$L21)-2.441*$L21)/Conversion_kWh_to_MJ)</f>
        <v>0</v>
      </c>
      <c r="R21" s="245" t="str">
        <f t="shared" ref="R21:R22" si="6">IFERROR(Q21/(SUM($Q$20:$Q$22)),"")</f>
        <v/>
      </c>
      <c r="S21" s="42"/>
      <c r="T21" s="42"/>
      <c r="U21" s="107"/>
      <c r="V21" s="12"/>
      <c r="W21" s="23"/>
      <c r="X21" s="21"/>
      <c r="Y21" s="23"/>
      <c r="Z21" s="42"/>
      <c r="AB21" s="12"/>
    </row>
    <row r="22" spans="2:29" s="14" customFormat="1">
      <c r="B22" s="186" t="s">
        <v>1008</v>
      </c>
      <c r="C22" s="184" t="s">
        <v>1107</v>
      </c>
      <c r="D22" s="179" t="s">
        <v>459</v>
      </c>
      <c r="E22" s="35"/>
      <c r="F22" s="21"/>
      <c r="G22" s="21"/>
      <c r="H22" s="20"/>
      <c r="I22" s="20"/>
      <c r="J22" s="302"/>
      <c r="K22" s="302"/>
      <c r="L22" s="302"/>
      <c r="M22" s="302"/>
      <c r="N22" s="242">
        <f t="shared" si="5"/>
        <v>0</v>
      </c>
      <c r="O22" s="12"/>
      <c r="P22" s="12"/>
      <c r="Q22" s="515">
        <f>IF($D22="MWh/yr (LHV)",$E22,$E22*MAX(0, $J22*(1-$L22)-2.441*$L22)/Conversion_kWh_to_MJ)</f>
        <v>0</v>
      </c>
      <c r="R22" s="245" t="str">
        <f t="shared" si="6"/>
        <v/>
      </c>
      <c r="S22" s="42"/>
      <c r="T22" s="42"/>
      <c r="U22" s="107"/>
      <c r="V22" s="12"/>
      <c r="W22" s="23"/>
      <c r="X22" s="21"/>
      <c r="Y22" s="23"/>
      <c r="Z22" s="42"/>
      <c r="AB22" s="12"/>
    </row>
    <row r="23" spans="2:29" s="14" customFormat="1">
      <c r="B23" s="186" t="s">
        <v>1013</v>
      </c>
      <c r="C23" s="184" t="s">
        <v>1108</v>
      </c>
      <c r="D23" s="179" t="s">
        <v>459</v>
      </c>
      <c r="E23" s="35"/>
      <c r="F23" s="21"/>
      <c r="G23" s="21"/>
      <c r="H23" s="20"/>
      <c r="I23" s="20"/>
      <c r="J23" s="302"/>
      <c r="K23" s="302"/>
      <c r="L23" s="302"/>
      <c r="M23" s="302"/>
      <c r="N23" s="242">
        <f t="shared" si="5"/>
        <v>0</v>
      </c>
      <c r="O23" s="12"/>
      <c r="P23" s="12"/>
      <c r="Q23" s="12"/>
      <c r="R23" s="12"/>
      <c r="S23" s="107"/>
      <c r="T23" s="107"/>
      <c r="U23" s="107"/>
      <c r="V23" s="12"/>
      <c r="W23" s="23"/>
      <c r="X23" s="21"/>
      <c r="Y23" s="23"/>
      <c r="Z23" s="42"/>
      <c r="AB23" s="12"/>
    </row>
    <row r="24" spans="2:29" s="14" customFormat="1">
      <c r="B24" s="186" t="s">
        <v>1013</v>
      </c>
      <c r="C24" s="184" t="s">
        <v>1015</v>
      </c>
      <c r="D24" s="179" t="s">
        <v>459</v>
      </c>
      <c r="E24" s="35"/>
      <c r="F24" s="21"/>
      <c r="G24" s="21"/>
      <c r="H24" s="20"/>
      <c r="I24" s="20"/>
      <c r="J24" s="302"/>
      <c r="K24" s="302"/>
      <c r="L24" s="302"/>
      <c r="M24" s="302"/>
      <c r="N24" s="242">
        <f t="shared" si="5"/>
        <v>0</v>
      </c>
      <c r="O24" s="12"/>
      <c r="P24" s="12"/>
      <c r="Q24" s="12"/>
      <c r="R24" s="12"/>
      <c r="S24" s="107"/>
      <c r="T24" s="107"/>
      <c r="U24" s="107"/>
      <c r="V24" s="12"/>
      <c r="W24" s="23"/>
      <c r="X24" s="21"/>
      <c r="Y24" s="23"/>
      <c r="Z24" s="42"/>
      <c r="AB24" s="12"/>
    </row>
    <row r="25" spans="2:29" s="14" customFormat="1">
      <c r="B25" s="186" t="s">
        <v>1016</v>
      </c>
      <c r="C25" s="184" t="s">
        <v>1017</v>
      </c>
      <c r="D25" s="179" t="s">
        <v>459</v>
      </c>
      <c r="E25" s="35"/>
      <c r="F25" s="21"/>
      <c r="G25" s="21"/>
      <c r="H25" s="20"/>
      <c r="I25" s="36"/>
      <c r="J25" s="300"/>
      <c r="K25" s="302"/>
      <c r="L25" s="302"/>
      <c r="M25" s="302"/>
      <c r="N25" s="242">
        <f t="shared" si="5"/>
        <v>0</v>
      </c>
      <c r="O25" s="12"/>
      <c r="P25" s="12"/>
      <c r="Q25" s="12"/>
      <c r="R25" s="12"/>
      <c r="S25" s="107"/>
      <c r="T25" s="107"/>
      <c r="U25" s="107"/>
      <c r="V25" s="12"/>
      <c r="X25" s="21"/>
    </row>
    <row r="26" spans="2:29" s="14" customFormat="1">
      <c r="B26" s="186" t="s">
        <v>1016</v>
      </c>
      <c r="C26" s="184" t="s">
        <v>1018</v>
      </c>
      <c r="D26" s="179" t="s">
        <v>459</v>
      </c>
      <c r="E26" s="35"/>
      <c r="F26" s="21"/>
      <c r="G26" s="21"/>
      <c r="H26" s="20"/>
      <c r="I26" s="36"/>
      <c r="J26" s="300"/>
      <c r="K26" s="302"/>
      <c r="L26" s="302"/>
      <c r="M26" s="302"/>
      <c r="N26" s="242">
        <f t="shared" si="5"/>
        <v>0</v>
      </c>
      <c r="O26" s="12"/>
      <c r="P26" s="12"/>
      <c r="Q26" s="12"/>
      <c r="R26" s="12"/>
      <c r="S26" s="107"/>
      <c r="T26" s="107"/>
      <c r="U26" s="107"/>
      <c r="V26" s="12"/>
      <c r="X26" s="21"/>
    </row>
    <row r="27" spans="2:29" s="14" customFormat="1">
      <c r="B27" s="186" t="s">
        <v>1057</v>
      </c>
      <c r="C27" s="184" t="s">
        <v>1182</v>
      </c>
      <c r="D27" s="179" t="s">
        <v>459</v>
      </c>
      <c r="E27" s="35"/>
      <c r="F27" s="34"/>
      <c r="G27" s="21"/>
      <c r="H27" s="20"/>
      <c r="I27" s="36"/>
      <c r="J27" s="300"/>
      <c r="K27" s="302"/>
      <c r="L27" s="302"/>
      <c r="M27" s="302"/>
      <c r="N27" s="242">
        <f t="shared" si="5"/>
        <v>0</v>
      </c>
      <c r="O27" s="12"/>
      <c r="P27" s="12"/>
      <c r="Q27" s="12"/>
      <c r="R27" s="12"/>
      <c r="S27" s="35">
        <v>1000</v>
      </c>
      <c r="T27" s="518"/>
      <c r="U27" s="35" t="s">
        <v>1118</v>
      </c>
      <c r="V27" s="242" t="str">
        <f>IFERROR(IF(D27="tonnes/yr", $S27*$E27/($N$20*3.6), $T27*$E27*3.6/($N$20*3.6)), "Unfilled fields to left")</f>
        <v>Unfilled fields to left</v>
      </c>
      <c r="X27" s="21"/>
    </row>
    <row r="28" spans="2:29" s="14" customFormat="1">
      <c r="B28" s="186" t="s">
        <v>1113</v>
      </c>
      <c r="C28" s="184" t="s">
        <v>1073</v>
      </c>
      <c r="D28" s="179" t="s">
        <v>459</v>
      </c>
      <c r="E28" s="35"/>
      <c r="F28" s="34"/>
      <c r="G28" s="21"/>
      <c r="H28" s="20"/>
      <c r="I28" s="36"/>
      <c r="J28" s="300"/>
      <c r="K28" s="302"/>
      <c r="L28" s="302"/>
      <c r="M28" s="302"/>
      <c r="N28" s="242">
        <f t="shared" si="5"/>
        <v>0</v>
      </c>
      <c r="O28" s="12"/>
      <c r="P28" s="12"/>
      <c r="Q28" s="12"/>
      <c r="R28" s="12"/>
      <c r="S28" s="35">
        <v>28000</v>
      </c>
      <c r="T28" s="518"/>
      <c r="U28" s="35" t="s">
        <v>1059</v>
      </c>
      <c r="V28" s="242" t="str">
        <f>IFERROR(IF(D28="tonnes/yr", $S28*$E28/($N$20*3.6), $T28*$E28*3.6/($N$20*3.6)), "Unfilled fields to left")</f>
        <v>Unfilled fields to left</v>
      </c>
      <c r="X28" s="21"/>
    </row>
    <row r="29" spans="2:29" s="14" customFormat="1">
      <c r="B29" s="186" t="s">
        <v>1113</v>
      </c>
      <c r="C29" s="184" t="s">
        <v>1075</v>
      </c>
      <c r="D29" s="179" t="s">
        <v>459</v>
      </c>
      <c r="E29" s="35"/>
      <c r="F29" s="21"/>
      <c r="G29" s="21"/>
      <c r="H29" s="20"/>
      <c r="I29" s="36"/>
      <c r="J29" s="300"/>
      <c r="K29" s="302"/>
      <c r="L29" s="302"/>
      <c r="M29" s="302"/>
      <c r="N29" s="242">
        <f t="shared" si="5"/>
        <v>0</v>
      </c>
      <c r="O29" s="12"/>
      <c r="P29" s="12"/>
      <c r="Q29" s="12"/>
      <c r="R29" s="12"/>
      <c r="S29" s="35">
        <v>265000</v>
      </c>
      <c r="T29" s="518"/>
      <c r="U29" s="35" t="s">
        <v>1059</v>
      </c>
      <c r="V29" s="242" t="str">
        <f>IFERROR(IF(D29="tonnes/yr", $S29*$E29/($N$20*3.6), $T29*$E29*3.6/($N$20*3.6)), "Unfilled fields to left")</f>
        <v>Unfilled fields to left</v>
      </c>
      <c r="X29" s="21"/>
    </row>
    <row r="30" spans="2:29" s="14" customFormat="1">
      <c r="B30" s="16"/>
      <c r="C30" s="15"/>
      <c r="D30" s="179"/>
      <c r="E30" s="35"/>
      <c r="F30" s="21"/>
      <c r="G30" s="21"/>
      <c r="H30" s="20"/>
      <c r="I30" s="36"/>
      <c r="J30" s="300"/>
      <c r="K30" s="302"/>
      <c r="L30" s="302"/>
      <c r="M30" s="302"/>
      <c r="N30" s="242">
        <f t="shared" si="5"/>
        <v>0</v>
      </c>
      <c r="O30" s="12"/>
      <c r="P30" s="12"/>
      <c r="Q30" s="12"/>
      <c r="R30" s="12"/>
      <c r="S30" s="300"/>
      <c r="T30" s="477"/>
      <c r="U30" s="302"/>
      <c r="V30" s="242" t="str">
        <f>IFERROR(IF(D30="tonnes/yr", $S30*$E30/($N$20*3.6), $T30*$E30*3.6/($N$20*3.6)), "Unfilled fields to left")</f>
        <v>Unfilled fields to left</v>
      </c>
      <c r="X30" s="21"/>
    </row>
    <row r="31" spans="2:29" s="14" customFormat="1">
      <c r="B31" s="16"/>
      <c r="C31" s="15"/>
      <c r="D31" s="179"/>
      <c r="E31" s="35"/>
      <c r="F31" s="21"/>
      <c r="G31" s="21"/>
      <c r="H31" s="20"/>
      <c r="I31" s="36"/>
      <c r="J31" s="300"/>
      <c r="K31" s="302"/>
      <c r="L31" s="302"/>
      <c r="M31" s="302"/>
      <c r="N31" s="242">
        <f t="shared" si="5"/>
        <v>0</v>
      </c>
      <c r="O31" s="12"/>
      <c r="P31" s="12"/>
      <c r="Q31" s="12"/>
      <c r="R31" s="12"/>
      <c r="S31" s="300"/>
      <c r="T31" s="477"/>
      <c r="U31" s="302"/>
      <c r="V31" s="242" t="str">
        <f>IFERROR(IF(D31="tonnes/yr", $S31*$E31/($N$20*3.6), $T31*$E31*3.6/($N$20*3.6)), "Unfilled fields to left")</f>
        <v>Unfilled fields to left</v>
      </c>
      <c r="X31" s="21"/>
    </row>
    <row r="32" spans="2:29">
      <c r="C32" s="17"/>
      <c r="D32" s="17"/>
      <c r="E32" s="140"/>
      <c r="F32" s="17"/>
      <c r="H32" s="18"/>
      <c r="I32" s="18"/>
      <c r="J32" s="40"/>
      <c r="K32" s="40"/>
      <c r="L32" s="40"/>
      <c r="M32" s="40"/>
      <c r="N32" s="40"/>
      <c r="O32" s="12"/>
      <c r="S32" s="40"/>
      <c r="T32" s="40"/>
      <c r="U32" s="40"/>
      <c r="V32" s="40"/>
      <c r="Y32" s="12"/>
    </row>
    <row r="33" spans="2:25">
      <c r="D33" s="17"/>
      <c r="E33" s="140"/>
      <c r="J33" s="39"/>
      <c r="K33" s="39"/>
      <c r="L33" s="39"/>
      <c r="M33" s="39"/>
      <c r="O33" s="12"/>
      <c r="S33" s="39"/>
      <c r="T33" s="39"/>
      <c r="U33" s="38" t="s">
        <v>1114</v>
      </c>
      <c r="V33" s="153">
        <f>SUM(V7:V32)</f>
        <v>0</v>
      </c>
      <c r="Y33" s="12"/>
    </row>
    <row r="34" spans="2:25">
      <c r="B34" s="145" t="s">
        <v>132</v>
      </c>
      <c r="C34" s="159"/>
      <c r="D34" s="159"/>
      <c r="E34" s="499"/>
      <c r="I34" s="12"/>
      <c r="J34" s="107"/>
      <c r="K34" s="107"/>
      <c r="L34" s="107"/>
      <c r="M34" s="107"/>
      <c r="N34" s="107"/>
      <c r="O34" s="12"/>
      <c r="S34" s="107"/>
      <c r="T34" s="107"/>
      <c r="U34" s="107"/>
      <c r="Y34" s="12"/>
    </row>
    <row r="35" spans="2:25">
      <c r="B35" s="16" t="s">
        <v>1086</v>
      </c>
      <c r="C35" s="15" t="s">
        <v>1087</v>
      </c>
      <c r="D35" s="15" t="s">
        <v>1088</v>
      </c>
      <c r="E35" s="501"/>
      <c r="G35" s="19"/>
      <c r="H35" s="12"/>
      <c r="I35" s="12"/>
      <c r="J35" s="107"/>
      <c r="K35" s="107"/>
      <c r="L35" s="107"/>
      <c r="M35" s="107"/>
      <c r="N35" s="107"/>
      <c r="O35" s="12"/>
      <c r="S35" s="107"/>
      <c r="T35" s="107"/>
      <c r="U35" s="107"/>
      <c r="V35" s="12"/>
      <c r="X35" s="25"/>
      <c r="Y35" s="12"/>
    </row>
    <row r="36" spans="2:25">
      <c r="B36" s="16"/>
      <c r="C36" s="15"/>
      <c r="D36" s="15"/>
      <c r="E36" s="507"/>
      <c r="H36" s="12"/>
      <c r="I36" s="12"/>
      <c r="J36" s="107"/>
      <c r="K36" s="107"/>
      <c r="L36" s="107"/>
      <c r="M36" s="107"/>
      <c r="N36" s="107"/>
      <c r="O36" s="12"/>
      <c r="S36" s="107"/>
      <c r="T36" s="107"/>
      <c r="U36" s="107"/>
      <c r="V36" s="12"/>
      <c r="X36" s="25"/>
      <c r="Y36" s="12"/>
    </row>
    <row r="37" spans="2:25">
      <c r="B37" s="16"/>
      <c r="C37" s="15"/>
      <c r="D37" s="15"/>
      <c r="E37" s="507"/>
      <c r="J37" s="39"/>
      <c r="K37" s="39"/>
      <c r="L37" s="39"/>
      <c r="M37" s="39"/>
      <c r="S37" s="39"/>
      <c r="T37" s="39"/>
      <c r="U37" s="39"/>
      <c r="X37" s="25"/>
    </row>
    <row r="38" spans="2:25">
      <c r="B38" s="16"/>
      <c r="C38" s="15"/>
      <c r="D38" s="15"/>
      <c r="E38" s="507"/>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P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P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6">
    <dataValidation type="list" allowBlank="1" showInputMessage="1" showErrorMessage="1" sqref="D9:D17 D20:D31" xr:uid="{4DFF4B8D-0A4D-4FC2-919D-5EEBE05073EF}">
      <formula1>Flow_units</formula1>
    </dataValidation>
    <dataValidation type="list" allowBlank="1" showInputMessage="1" showErrorMessage="1" sqref="D8" xr:uid="{E2ECF893-44C4-42EE-A18C-21F71844862A}">
      <formula1>"tonnes/yr, MWh/yr+$D$7"</formula1>
    </dataValidation>
    <dataValidation type="custom" allowBlank="1" showInputMessage="1" showErrorMessage="1" error="Please do not change this formula" prompt="Please do not change this formula" sqref="V6:V1048576 W4 V1:V4 R6:R19 P1:R4 Q23:R1048576 N1:N7 N18:N19 P21:P1048576 N32:N1048576 O4 O6:O19 S5:V5" xr:uid="{04B82457-3238-42EB-A551-48607D5686E6}">
      <formula1>"Please do not change this formula"</formula1>
    </dataValidation>
    <dataValidation type="custom" allowBlank="1" showInputMessage="1" showErrorMessage="1" error="Please do not change this formula" sqref="Q20:Q22 N8:N17 N20:N31 O20 O5:R5" xr:uid="{3900AC36-E3E9-46C2-AA28-9FB1808E3BED}">
      <formula1>"Please do not change this formula"</formula1>
    </dataValidation>
    <dataValidation type="custom" allowBlank="1" showInputMessage="1" showErrorMessage="1" error="Please do not change" sqref="R20:R22" xr:uid="{B09934E2-0A32-4BB4-BDA7-00FBC815D3E4}">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6AE3B9DF-C18B-4747-9346-C381A2AC81CE}">
      <formula1>0</formula1>
    </dataValidation>
  </dataValidations>
  <hyperlinks>
    <hyperlink ref="I2:J2" location="'Biogas Feedstock Transport'!A1" display="Go to the next step of this pathway" xr:uid="{20B66EBB-0521-42D2-B8F7-1134A0923C6C}"/>
    <hyperlink ref="I2:K2" location="Biogas_Feedstock_Collection!A1" display="Go to the next step of this pathway" xr:uid="{3D75FA98-2C90-4FED-B0C8-6530C5491C99}"/>
  </hyperlinks>
  <pageMargins left="0" right="0" top="0" bottom="0" header="0" footer="0"/>
  <pageSetup paperSize="9" orientation="portrait" r:id="rId10"/>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86" id="{00000000-000E-0000-2400-0000BA000000}">
            <xm:f>AND(Path&lt;&gt;Units!$B$131,Path&lt;&gt;Units!$B$132,Path&lt;&gt;Units!$B$133,Path&lt;&gt;Units!$B$134,Master_Switch="On")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187" id="{C3953134-4FA2-4B4B-A31B-BA6D9C4AEF89}">
            <xm:f>AND(Initial_questions!$E$68&lt;&gt;"Cereals and other starch-rich crops", Initial_questions!$E$68&lt;&gt;"Sugar crops", Initial_questions!$E$68&lt;&gt;"Oil crops", Initial_questions!$E$68&lt;&gt;"Other crop/purpose grown feedstock",Master_Switch="On")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501C-FA6C-472A-8A0D-74000F10D2E4}">
  <sheetPr codeName="Sheet24">
    <tabColor rgb="FFFF9900"/>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55"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18.453125" customWidth="1"/>
    <col min="16" max="16" width="8.1796875" style="12" customWidth="1"/>
    <col min="17" max="17" width="18.81640625" style="12" customWidth="1"/>
    <col min="18" max="18" width="17.54296875" style="12" customWidth="1"/>
    <col min="19" max="20" width="20.7265625" style="13" customWidth="1"/>
    <col min="21" max="21" width="22.7265625" style="13" customWidth="1"/>
    <col min="22" max="22" width="20.26953125" style="39" customWidth="1"/>
    <col min="23" max="23" width="7.1796875" style="12" customWidth="1"/>
    <col min="24" max="24" width="26" style="12" customWidth="1"/>
    <col min="26" max="16384" width="7.1796875" style="12"/>
  </cols>
  <sheetData>
    <row r="1" spans="1:29" ht="31.9" customHeight="1">
      <c r="A1" s="80" t="str">
        <f>IF(AND(Path&lt;&gt;Units!$B$131,Path&lt;&gt;Units!$B$132,Path&lt;&gt;Units!$B$133,Path&lt;&gt;Units!$B$134,Master_Switch="On"),"User should not fill in this sheet, but switch to other non-blank GHG worksheets","")</f>
        <v>User should not fill in this sheet, but switch to other non-blank GHG worksheets</v>
      </c>
      <c r="E1" s="256"/>
    </row>
    <row r="2" spans="1:29" ht="20.5" customHeight="1">
      <c r="B2" s="80" t="str">
        <f>IF(AND(GHG_BIOMETHANE_REFORM!$D$5="Default",Master_Switch="On"),"Default data selected for this step, move to the next step of the pathway","")</f>
        <v/>
      </c>
      <c r="I2" s="729" t="s">
        <v>1093</v>
      </c>
      <c r="J2" s="731"/>
      <c r="K2" s="732"/>
      <c r="L2" s="39"/>
      <c r="M2" s="39"/>
    </row>
    <row r="3" spans="1:29" ht="15" customHeight="1">
      <c r="E3" s="256"/>
    </row>
    <row r="4" spans="1:29" ht="15.65" customHeight="1" thickBot="1">
      <c r="B4" s="3"/>
      <c r="C4" s="3"/>
      <c r="D4" s="3"/>
      <c r="E4" s="455"/>
      <c r="F4" s="3"/>
      <c r="G4" s="3"/>
      <c r="H4" s="1"/>
      <c r="I4" s="1"/>
      <c r="J4" s="1"/>
      <c r="K4" s="1"/>
      <c r="L4" s="1"/>
      <c r="M4" s="1"/>
      <c r="N4" s="37"/>
      <c r="O4" s="1"/>
      <c r="P4" s="3"/>
      <c r="Q4" s="3"/>
      <c r="R4" s="3"/>
      <c r="S4" s="1"/>
      <c r="T4" s="1"/>
      <c r="U4" s="1"/>
      <c r="V4" s="37"/>
      <c r="W4" s="37"/>
      <c r="X4" s="3"/>
    </row>
    <row r="5" spans="1:29"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9" ht="15" thickTop="1">
      <c r="E6" s="457"/>
      <c r="R6"/>
      <c r="S6"/>
      <c r="T6"/>
      <c r="U6"/>
      <c r="V6"/>
    </row>
    <row r="7" spans="1:29">
      <c r="B7" s="145" t="s">
        <v>1097</v>
      </c>
      <c r="C7" s="145"/>
      <c r="D7" s="145"/>
      <c r="E7" s="324"/>
      <c r="F7" s="145"/>
      <c r="G7" s="145"/>
      <c r="H7" s="145"/>
      <c r="I7" s="145"/>
      <c r="J7" s="145"/>
      <c r="K7" s="145"/>
      <c r="L7" s="145"/>
      <c r="M7" s="145"/>
      <c r="N7" s="301"/>
      <c r="R7"/>
      <c r="S7"/>
      <c r="T7"/>
      <c r="U7"/>
      <c r="V7"/>
      <c r="W7" s="19"/>
      <c r="X7" s="19"/>
      <c r="Y7" s="19"/>
      <c r="Z7" s="19"/>
      <c r="AA7" s="19"/>
      <c r="AB7" s="19"/>
      <c r="AC7" s="19"/>
    </row>
    <row r="8" spans="1:29">
      <c r="B8" s="16" t="s">
        <v>1115</v>
      </c>
      <c r="C8" s="184" t="s">
        <v>1192</v>
      </c>
      <c r="D8" s="179" t="s">
        <v>459</v>
      </c>
      <c r="E8" s="35"/>
      <c r="F8" s="21"/>
      <c r="G8" s="21"/>
      <c r="H8" s="20"/>
      <c r="I8" s="20"/>
      <c r="J8" s="300"/>
      <c r="K8" s="302"/>
      <c r="L8" s="302"/>
      <c r="M8" s="302"/>
      <c r="N8" s="242">
        <f t="shared" ref="N8:N17" si="0">IF($D8="MWh/yr (LHV)",$E8,$J8*$E8*(1-$L8)/Conversion_kWh_to_MJ)</f>
        <v>0</v>
      </c>
      <c r="O8" s="12"/>
      <c r="S8" s="107"/>
      <c r="T8" s="107"/>
      <c r="U8" s="107"/>
      <c r="V8" s="12"/>
      <c r="X8" s="24"/>
      <c r="Y8" s="12"/>
    </row>
    <row r="9" spans="1:29">
      <c r="B9" s="186" t="s">
        <v>1021</v>
      </c>
      <c r="C9" s="184" t="s">
        <v>1098</v>
      </c>
      <c r="D9" s="179" t="s">
        <v>479</v>
      </c>
      <c r="E9" s="35"/>
      <c r="F9" s="21"/>
      <c r="G9" s="21"/>
      <c r="H9" s="20"/>
      <c r="I9" s="36"/>
      <c r="J9" s="300"/>
      <c r="K9" s="302"/>
      <c r="L9" s="302"/>
      <c r="M9" s="302"/>
      <c r="N9" s="242">
        <f t="shared" si="0"/>
        <v>0</v>
      </c>
      <c r="O9" s="12"/>
      <c r="S9" s="35" t="str">
        <f>IF(B9="", "", IF(D9="MWh/yr (LHV)", "Use column to right", "Enter data here"))</f>
        <v>Use column to right</v>
      </c>
      <c r="T9" s="35" t="e">
        <f>INDEX(Proj_grid_intensity_kWh,MATCH(Operations_year,Proj_grid_year,0))/Conversion_kWh_to_MJ</f>
        <v>#N/A</v>
      </c>
      <c r="U9" s="35" t="s">
        <v>1064</v>
      </c>
      <c r="V9" s="242" t="str">
        <f t="shared" ref="V9:V17" si="1">IFERROR(IF(D9="tonnes/yr", $S9*$E9/($N$20*3.6), $T9*$E9*3.6/($N$20*3.6)), "Unfilled fields to left")</f>
        <v>Unfilled fields to left</v>
      </c>
      <c r="X9" s="25"/>
      <c r="Y9" s="12"/>
    </row>
    <row r="10" spans="1:29">
      <c r="B10" s="186" t="s">
        <v>1021</v>
      </c>
      <c r="C10" s="184"/>
      <c r="D10" s="179"/>
      <c r="E10" s="35"/>
      <c r="F10" s="21"/>
      <c r="G10" s="21"/>
      <c r="H10" s="20"/>
      <c r="I10" s="36"/>
      <c r="J10" s="300"/>
      <c r="K10" s="302"/>
      <c r="L10" s="302"/>
      <c r="M10" s="302"/>
      <c r="N10" s="242">
        <f t="shared" si="0"/>
        <v>0</v>
      </c>
      <c r="O10" s="12"/>
      <c r="S10" s="35" t="str">
        <f>IF(B10="", "", IF(D10="MWh/yr (LHV)", "Use column to right", "Enter data here"))</f>
        <v>Enter data here</v>
      </c>
      <c r="T10" s="35" t="str">
        <f t="shared" ref="T10" si="2">IF(B10="", "", IF(D10="MWh/yr (LHV)", "Enter data here", "Use column to left"))</f>
        <v>Use column to left</v>
      </c>
      <c r="U10" s="35" t="s">
        <v>1100</v>
      </c>
      <c r="V10" s="242" t="str">
        <f t="shared" si="1"/>
        <v>Unfilled fields to left</v>
      </c>
      <c r="X10" s="25"/>
      <c r="Y10" s="12"/>
    </row>
    <row r="11" spans="1:29">
      <c r="B11" s="186" t="s">
        <v>1042</v>
      </c>
      <c r="C11" s="184" t="s">
        <v>1043</v>
      </c>
      <c r="D11" s="179" t="s">
        <v>459</v>
      </c>
      <c r="E11" s="35"/>
      <c r="F11" s="21"/>
      <c r="G11" s="21"/>
      <c r="H11" s="20"/>
      <c r="I11" s="36"/>
      <c r="J11" s="300"/>
      <c r="K11" s="302"/>
      <c r="L11" s="302"/>
      <c r="M11" s="302"/>
      <c r="N11" s="242">
        <f t="shared" si="0"/>
        <v>0</v>
      </c>
      <c r="O11" s="12"/>
      <c r="S11" s="35" t="str">
        <f t="shared" ref="S11:S16" si="3">IF(B11="", "", IF(D11="MWh/yr (LHV)", "Use column to right", "Enter data here"))</f>
        <v>Enter data here</v>
      </c>
      <c r="T11" s="35" t="str">
        <f t="shared" ref="T11:T16" si="4">IF(B11="", "", IF(D11="MWh/yr (LHV)", "Enter data here", "Use column to left"))</f>
        <v>Use column to left</v>
      </c>
      <c r="U11" s="35" t="s">
        <v>1100</v>
      </c>
      <c r="V11" s="242" t="str">
        <f t="shared" si="1"/>
        <v>Unfilled fields to left</v>
      </c>
      <c r="X11" s="25"/>
      <c r="Y11" s="12"/>
    </row>
    <row r="12" spans="1:29">
      <c r="B12" s="186" t="s">
        <v>1042</v>
      </c>
      <c r="C12" s="184" t="s">
        <v>1045</v>
      </c>
      <c r="D12" s="179" t="s">
        <v>459</v>
      </c>
      <c r="E12" s="35"/>
      <c r="F12" s="21"/>
      <c r="G12" s="21"/>
      <c r="H12" s="20"/>
      <c r="I12" s="36"/>
      <c r="J12" s="300"/>
      <c r="K12" s="302"/>
      <c r="L12" s="302"/>
      <c r="M12" s="302"/>
      <c r="N12" s="242">
        <f t="shared" si="0"/>
        <v>0</v>
      </c>
      <c r="O12" s="12"/>
      <c r="S12" s="35" t="str">
        <f t="shared" si="3"/>
        <v>Enter data here</v>
      </c>
      <c r="T12" s="35" t="str">
        <f t="shared" si="4"/>
        <v>Use column to left</v>
      </c>
      <c r="U12" s="35" t="s">
        <v>1100</v>
      </c>
      <c r="V12" s="242" t="str">
        <f t="shared" si="1"/>
        <v>Unfilled fields to left</v>
      </c>
      <c r="X12" s="25"/>
      <c r="Y12" s="12"/>
    </row>
    <row r="13" spans="1:29">
      <c r="B13" s="186" t="s">
        <v>1051</v>
      </c>
      <c r="C13" s="184"/>
      <c r="D13" s="179"/>
      <c r="E13" s="35"/>
      <c r="F13" s="21"/>
      <c r="G13" s="21"/>
      <c r="H13" s="20"/>
      <c r="I13" s="36"/>
      <c r="J13" s="300"/>
      <c r="K13" s="302"/>
      <c r="L13" s="302"/>
      <c r="M13" s="302"/>
      <c r="N13" s="242">
        <f t="shared" si="0"/>
        <v>0</v>
      </c>
      <c r="O13" s="12"/>
      <c r="S13" s="35" t="str">
        <f t="shared" si="3"/>
        <v>Enter data here</v>
      </c>
      <c r="T13" s="35" t="str">
        <f t="shared" si="4"/>
        <v>Use column to left</v>
      </c>
      <c r="U13" s="35" t="s">
        <v>1100</v>
      </c>
      <c r="V13" s="242" t="str">
        <f t="shared" si="1"/>
        <v>Unfilled fields to left</v>
      </c>
      <c r="X13" s="25"/>
      <c r="Y13" s="12"/>
    </row>
    <row r="14" spans="1:29">
      <c r="B14" s="186" t="s">
        <v>1051</v>
      </c>
      <c r="C14" s="184"/>
      <c r="D14" s="179"/>
      <c r="E14" s="35"/>
      <c r="F14" s="21"/>
      <c r="G14" s="21"/>
      <c r="H14" s="20"/>
      <c r="I14" s="36"/>
      <c r="J14" s="300"/>
      <c r="K14" s="302"/>
      <c r="L14" s="302"/>
      <c r="M14" s="302"/>
      <c r="N14" s="242">
        <f t="shared" si="0"/>
        <v>0</v>
      </c>
      <c r="O14" s="12"/>
      <c r="S14" s="35" t="str">
        <f t="shared" si="3"/>
        <v>Enter data here</v>
      </c>
      <c r="T14" s="35" t="str">
        <f t="shared" si="4"/>
        <v>Use column to left</v>
      </c>
      <c r="U14" s="35" t="s">
        <v>1100</v>
      </c>
      <c r="V14" s="242" t="str">
        <f t="shared" si="1"/>
        <v>Unfilled fields to left</v>
      </c>
      <c r="X14" s="25"/>
      <c r="Y14" s="12"/>
    </row>
    <row r="15" spans="1:29">
      <c r="B15" s="186" t="s">
        <v>1102</v>
      </c>
      <c r="C15" s="184" t="s">
        <v>1055</v>
      </c>
      <c r="D15" s="179" t="s">
        <v>459</v>
      </c>
      <c r="E15" s="35"/>
      <c r="F15" s="21"/>
      <c r="G15" s="21"/>
      <c r="H15" s="20"/>
      <c r="I15" s="36"/>
      <c r="J15" s="300"/>
      <c r="K15" s="302"/>
      <c r="L15" s="302"/>
      <c r="M15" s="302"/>
      <c r="N15" s="242">
        <f t="shared" si="0"/>
        <v>0</v>
      </c>
      <c r="O15" s="12"/>
      <c r="S15" s="35" t="str">
        <f t="shared" si="3"/>
        <v>Enter data here</v>
      </c>
      <c r="T15" s="35" t="str">
        <f t="shared" si="4"/>
        <v>Use column to left</v>
      </c>
      <c r="U15" s="35" t="s">
        <v>1100</v>
      </c>
      <c r="V15" s="242" t="str">
        <f t="shared" si="1"/>
        <v>Unfilled fields to left</v>
      </c>
      <c r="X15" s="25"/>
      <c r="Y15" s="12"/>
    </row>
    <row r="16" spans="1:29">
      <c r="B16" s="186" t="s">
        <v>1102</v>
      </c>
      <c r="C16" s="15"/>
      <c r="D16" s="179"/>
      <c r="E16" s="35"/>
      <c r="F16" s="21"/>
      <c r="G16" s="21"/>
      <c r="H16" s="20"/>
      <c r="I16" s="36"/>
      <c r="J16" s="300"/>
      <c r="K16" s="302"/>
      <c r="L16" s="302"/>
      <c r="M16" s="302"/>
      <c r="N16" s="242">
        <f t="shared" si="0"/>
        <v>0</v>
      </c>
      <c r="O16" s="12"/>
      <c r="S16" s="35" t="str">
        <f t="shared" si="3"/>
        <v>Enter data here</v>
      </c>
      <c r="T16" s="35" t="str">
        <f t="shared" si="4"/>
        <v>Use column to left</v>
      </c>
      <c r="U16" s="35" t="s">
        <v>1100</v>
      </c>
      <c r="V16" s="242" t="str">
        <f t="shared" si="1"/>
        <v>Unfilled fields to left</v>
      </c>
      <c r="X16" s="25"/>
      <c r="Y16" s="12"/>
    </row>
    <row r="17" spans="2:29">
      <c r="B17" s="16"/>
      <c r="C17" s="15"/>
      <c r="D17" s="179"/>
      <c r="E17" s="35"/>
      <c r="F17" s="21"/>
      <c r="G17" s="21"/>
      <c r="H17" s="20"/>
      <c r="I17" s="36"/>
      <c r="J17" s="300"/>
      <c r="K17" s="302"/>
      <c r="L17" s="302"/>
      <c r="M17" s="302"/>
      <c r="N17" s="242">
        <f t="shared" si="0"/>
        <v>0</v>
      </c>
      <c r="O17" s="12"/>
      <c r="S17" s="302"/>
      <c r="T17" s="300"/>
      <c r="U17" s="302"/>
      <c r="V17" s="242" t="str">
        <f t="shared" si="1"/>
        <v>Unfilled fields to left</v>
      </c>
      <c r="X17" s="25"/>
      <c r="Y17" s="12"/>
    </row>
    <row r="18" spans="2:29">
      <c r="C18" s="17"/>
      <c r="D18" s="17"/>
      <c r="E18" s="506"/>
      <c r="F18" s="26"/>
      <c r="G18" s="27"/>
      <c r="H18" s="22"/>
      <c r="I18" s="22"/>
      <c r="J18" s="41"/>
      <c r="K18" s="41"/>
      <c r="L18" s="41"/>
      <c r="M18" s="41"/>
      <c r="N18" s="41"/>
      <c r="O18" s="12"/>
      <c r="S18" s="41"/>
      <c r="T18" s="41"/>
      <c r="U18" s="41"/>
      <c r="V18" s="41"/>
      <c r="X18" s="27"/>
      <c r="Y18" s="12"/>
    </row>
    <row r="19" spans="2:29">
      <c r="B19" s="145" t="s">
        <v>1103</v>
      </c>
      <c r="C19" s="145"/>
      <c r="D19" s="145"/>
      <c r="E19" s="301"/>
      <c r="F19" s="145"/>
      <c r="G19" s="145"/>
      <c r="H19" s="145"/>
      <c r="I19" s="145"/>
      <c r="J19" s="301"/>
      <c r="K19" s="301"/>
      <c r="L19" s="301"/>
      <c r="M19" s="301"/>
      <c r="N19" s="301"/>
      <c r="R19"/>
      <c r="S19" s="40"/>
      <c r="T19" s="40"/>
      <c r="U19" s="40"/>
      <c r="V19" s="40"/>
      <c r="W19" s="19"/>
      <c r="X19" s="19"/>
      <c r="Y19" s="19"/>
      <c r="Z19" s="19"/>
      <c r="AA19" s="19"/>
      <c r="AB19" s="19"/>
      <c r="AC19" s="19"/>
    </row>
    <row r="20" spans="2:29">
      <c r="B20" s="16" t="s">
        <v>1104</v>
      </c>
      <c r="C20" s="184" t="s">
        <v>1192</v>
      </c>
      <c r="D20" s="179" t="s">
        <v>459</v>
      </c>
      <c r="E20" s="35"/>
      <c r="F20" s="21"/>
      <c r="G20" s="21"/>
      <c r="H20" s="21"/>
      <c r="I20" s="21"/>
      <c r="J20" s="300"/>
      <c r="K20" s="306"/>
      <c r="L20" s="306"/>
      <c r="M20" s="306"/>
      <c r="N20" s="242">
        <f t="shared" ref="N20:N31" si="5">IF($D20="MWh/yr (LHV)",$E20,$J20*$E20*(1-$L20)/Conversion_kWh_to_MJ)</f>
        <v>0</v>
      </c>
      <c r="O20" s="246" t="str">
        <f>IFERROR(N20/N8,"")</f>
        <v/>
      </c>
      <c r="Q20" s="515">
        <f>IF($D20="MWh/yr (LHV)",$E20,$E20*MAX(0, $J20*(1-$L20)-2.441*$L20)/Conversion_kWh_to_MJ)</f>
        <v>0</v>
      </c>
      <c r="R20" s="245" t="str">
        <f>IFERROR(Q20/(SUM($Q$20:$Q$22)),"")</f>
        <v/>
      </c>
      <c r="S20" s="42"/>
      <c r="T20" s="42"/>
      <c r="U20" s="42"/>
      <c r="V20" s="42"/>
      <c r="X20" s="21"/>
      <c r="Y20" s="12"/>
    </row>
    <row r="21" spans="2:29" s="14" customFormat="1">
      <c r="B21" s="186" t="s">
        <v>1008</v>
      </c>
      <c r="C21" s="184" t="s">
        <v>1106</v>
      </c>
      <c r="D21" s="179" t="s">
        <v>459</v>
      </c>
      <c r="E21" s="35"/>
      <c r="F21" s="21"/>
      <c r="G21" s="21"/>
      <c r="H21" s="20"/>
      <c r="I21" s="33"/>
      <c r="J21" s="300"/>
      <c r="K21" s="302"/>
      <c r="L21" s="302"/>
      <c r="M21" s="302"/>
      <c r="N21" s="242">
        <f t="shared" si="5"/>
        <v>0</v>
      </c>
      <c r="O21" s="12"/>
      <c r="P21" s="12"/>
      <c r="Q21" s="515">
        <f>IF($D21="MWh/yr (LHV)",$E21,$E21*MAX(0, $J21*(1-$L21)-2.441*$L21)/Conversion_kWh_to_MJ)</f>
        <v>0</v>
      </c>
      <c r="R21" s="245" t="str">
        <f t="shared" ref="R21:R22" si="6">IFERROR(Q21/(SUM($Q$20:$Q$22)),"")</f>
        <v/>
      </c>
      <c r="S21" s="42"/>
      <c r="T21" s="42"/>
      <c r="U21" s="107"/>
      <c r="V21" s="12"/>
      <c r="W21" s="23"/>
      <c r="X21" s="21"/>
      <c r="Y21" s="23"/>
      <c r="Z21" s="42"/>
      <c r="AB21" s="12"/>
    </row>
    <row r="22" spans="2:29" s="14" customFormat="1">
      <c r="B22" s="186" t="s">
        <v>1008</v>
      </c>
      <c r="C22" s="184" t="s">
        <v>1107</v>
      </c>
      <c r="D22" s="179" t="s">
        <v>459</v>
      </c>
      <c r="E22" s="35"/>
      <c r="F22" s="21"/>
      <c r="G22" s="21"/>
      <c r="H22" s="20"/>
      <c r="I22" s="20"/>
      <c r="J22" s="302"/>
      <c r="K22" s="302"/>
      <c r="L22" s="302"/>
      <c r="M22" s="302"/>
      <c r="N22" s="242">
        <f t="shared" si="5"/>
        <v>0</v>
      </c>
      <c r="O22" s="12"/>
      <c r="P22" s="12"/>
      <c r="Q22" s="515">
        <f>IF($D22="MWh/yr (LHV)",$E22,$E22*MAX(0, $J22*(1-$L22)-2.441*$L22)/Conversion_kWh_to_MJ)</f>
        <v>0</v>
      </c>
      <c r="R22" s="245" t="str">
        <f t="shared" si="6"/>
        <v/>
      </c>
      <c r="S22" s="42"/>
      <c r="T22" s="42"/>
      <c r="U22" s="107"/>
      <c r="V22" s="12"/>
      <c r="W22" s="23"/>
      <c r="X22" s="21"/>
      <c r="Y22" s="23"/>
      <c r="Z22" s="42"/>
      <c r="AB22" s="12"/>
    </row>
    <row r="23" spans="2:29" s="14" customFormat="1">
      <c r="B23" s="186" t="s">
        <v>1013</v>
      </c>
      <c r="C23" s="184" t="s">
        <v>1108</v>
      </c>
      <c r="D23" s="179" t="s">
        <v>459</v>
      </c>
      <c r="E23" s="35"/>
      <c r="F23" s="21"/>
      <c r="G23" s="21"/>
      <c r="H23" s="20"/>
      <c r="I23" s="20"/>
      <c r="J23" s="302"/>
      <c r="K23" s="302"/>
      <c r="L23" s="302"/>
      <c r="M23" s="302"/>
      <c r="N23" s="242">
        <f t="shared" si="5"/>
        <v>0</v>
      </c>
      <c r="O23" s="12"/>
      <c r="P23" s="12"/>
      <c r="Q23" s="12"/>
      <c r="R23" s="12"/>
      <c r="S23" s="107"/>
      <c r="T23" s="107"/>
      <c r="U23" s="107"/>
      <c r="V23" s="12"/>
      <c r="W23" s="23"/>
      <c r="X23" s="21"/>
      <c r="Y23" s="23"/>
      <c r="Z23" s="42"/>
      <c r="AB23" s="12"/>
    </row>
    <row r="24" spans="2:29" s="14" customFormat="1">
      <c r="B24" s="186" t="s">
        <v>1013</v>
      </c>
      <c r="C24" s="184" t="s">
        <v>1015</v>
      </c>
      <c r="D24" s="179" t="s">
        <v>459</v>
      </c>
      <c r="E24" s="35"/>
      <c r="F24" s="21"/>
      <c r="G24" s="21"/>
      <c r="H24" s="20"/>
      <c r="I24" s="20"/>
      <c r="J24" s="302"/>
      <c r="K24" s="302"/>
      <c r="L24" s="302"/>
      <c r="M24" s="302"/>
      <c r="N24" s="242">
        <f t="shared" si="5"/>
        <v>0</v>
      </c>
      <c r="O24" s="12"/>
      <c r="P24" s="12"/>
      <c r="Q24" s="12"/>
      <c r="R24" s="12"/>
      <c r="S24" s="107"/>
      <c r="T24" s="107"/>
      <c r="U24" s="107"/>
      <c r="V24" s="12"/>
      <c r="W24" s="23"/>
      <c r="X24" s="21"/>
      <c r="Y24" s="23"/>
      <c r="Z24" s="42"/>
      <c r="AB24" s="12"/>
    </row>
    <row r="25" spans="2:29" s="14" customFormat="1">
      <c r="B25" s="186" t="s">
        <v>1016</v>
      </c>
      <c r="C25" s="184" t="s">
        <v>1017</v>
      </c>
      <c r="D25" s="179" t="s">
        <v>459</v>
      </c>
      <c r="E25" s="35"/>
      <c r="F25" s="21"/>
      <c r="G25" s="21"/>
      <c r="H25" s="20"/>
      <c r="I25" s="36"/>
      <c r="J25" s="300"/>
      <c r="K25" s="302"/>
      <c r="L25" s="302"/>
      <c r="M25" s="302"/>
      <c r="N25" s="242">
        <f t="shared" si="5"/>
        <v>0</v>
      </c>
      <c r="O25" s="12"/>
      <c r="P25" s="12"/>
      <c r="Q25" s="12"/>
      <c r="R25" s="12"/>
      <c r="S25" s="107"/>
      <c r="T25" s="107"/>
      <c r="U25" s="107"/>
      <c r="V25" s="12"/>
      <c r="X25" s="21"/>
    </row>
    <row r="26" spans="2:29" s="14" customFormat="1">
      <c r="B26" s="186" t="s">
        <v>1016</v>
      </c>
      <c r="C26" s="184" t="s">
        <v>1018</v>
      </c>
      <c r="D26" s="179" t="s">
        <v>459</v>
      </c>
      <c r="E26" s="35"/>
      <c r="F26" s="21"/>
      <c r="G26" s="21"/>
      <c r="H26" s="20"/>
      <c r="I26" s="36"/>
      <c r="J26" s="300"/>
      <c r="K26" s="302"/>
      <c r="L26" s="302"/>
      <c r="M26" s="302"/>
      <c r="N26" s="242">
        <f t="shared" si="5"/>
        <v>0</v>
      </c>
      <c r="O26" s="12"/>
      <c r="P26" s="12"/>
      <c r="Q26" s="12"/>
      <c r="R26" s="12"/>
      <c r="S26" s="107"/>
      <c r="T26" s="107"/>
      <c r="U26" s="107"/>
      <c r="V26" s="12"/>
      <c r="X26" s="21"/>
    </row>
    <row r="27" spans="2:29" s="14" customFormat="1">
      <c r="B27" s="186" t="s">
        <v>1057</v>
      </c>
      <c r="C27" s="184" t="s">
        <v>1182</v>
      </c>
      <c r="D27" s="179" t="s">
        <v>459</v>
      </c>
      <c r="E27" s="35"/>
      <c r="F27" s="34"/>
      <c r="G27" s="21"/>
      <c r="H27" s="20"/>
      <c r="I27" s="36"/>
      <c r="J27" s="300"/>
      <c r="K27" s="302"/>
      <c r="L27" s="302"/>
      <c r="M27" s="302"/>
      <c r="N27" s="242">
        <f t="shared" si="5"/>
        <v>0</v>
      </c>
      <c r="O27" s="12"/>
      <c r="P27" s="12"/>
      <c r="Q27" s="12"/>
      <c r="R27" s="12"/>
      <c r="S27" s="300">
        <v>1000</v>
      </c>
      <c r="T27" s="477"/>
      <c r="U27" s="35" t="s">
        <v>1118</v>
      </c>
      <c r="V27" s="242" t="str">
        <f>IFERROR(IF(D27="tonnes/yr", $S27*$E27/($N$20*3.6), $T27*$E27*3.6/($N$20*3.6)), "Unfilled fields to left")</f>
        <v>Unfilled fields to left</v>
      </c>
      <c r="X27" s="21"/>
    </row>
    <row r="28" spans="2:29" s="14" customFormat="1">
      <c r="B28" s="186" t="s">
        <v>1113</v>
      </c>
      <c r="C28" s="184" t="s">
        <v>1073</v>
      </c>
      <c r="D28" s="179" t="s">
        <v>459</v>
      </c>
      <c r="E28" s="35"/>
      <c r="F28" s="34"/>
      <c r="G28" s="21"/>
      <c r="H28" s="20"/>
      <c r="I28" s="36"/>
      <c r="J28" s="300"/>
      <c r="K28" s="302"/>
      <c r="L28" s="302"/>
      <c r="M28" s="302"/>
      <c r="N28" s="242">
        <f t="shared" si="5"/>
        <v>0</v>
      </c>
      <c r="O28" s="12"/>
      <c r="P28" s="12"/>
      <c r="Q28" s="12"/>
      <c r="R28" s="12"/>
      <c r="S28" s="300">
        <f>28*1000</f>
        <v>28000</v>
      </c>
      <c r="T28" s="477"/>
      <c r="U28" s="35" t="s">
        <v>1059</v>
      </c>
      <c r="V28" s="242" t="str">
        <f>IFERROR(IF(D28="tonnes/yr", $S28*$E28/($N$20*3.6), $T28*$E28*3.6/($N$20*3.6)), "Unfilled fields to left")</f>
        <v>Unfilled fields to left</v>
      </c>
      <c r="X28" s="21"/>
    </row>
    <row r="29" spans="2:29" s="14" customFormat="1">
      <c r="B29" s="186" t="s">
        <v>1113</v>
      </c>
      <c r="C29" s="184" t="s">
        <v>1075</v>
      </c>
      <c r="D29" s="179" t="s">
        <v>459</v>
      </c>
      <c r="E29" s="35"/>
      <c r="F29" s="21"/>
      <c r="G29" s="21"/>
      <c r="H29" s="20"/>
      <c r="I29" s="36"/>
      <c r="J29" s="300"/>
      <c r="K29" s="302"/>
      <c r="L29" s="302"/>
      <c r="M29" s="302"/>
      <c r="N29" s="242">
        <f t="shared" si="5"/>
        <v>0</v>
      </c>
      <c r="O29" s="12"/>
      <c r="P29" s="12"/>
      <c r="Q29" s="12"/>
      <c r="R29" s="12"/>
      <c r="S29" s="35">
        <v>265000</v>
      </c>
      <c r="T29" s="518"/>
      <c r="U29" s="35" t="s">
        <v>1059</v>
      </c>
      <c r="V29" s="242" t="str">
        <f>IFERROR(IF(D29="tonnes/yr", $S29*$E29/($N$20*3.6), $T29*$E29*3.6/($N$20*3.6)), "Unfilled fields to left")</f>
        <v>Unfilled fields to left</v>
      </c>
      <c r="X29" s="21"/>
    </row>
    <row r="30" spans="2:29" s="14" customFormat="1">
      <c r="B30" s="16"/>
      <c r="C30" s="15"/>
      <c r="D30" s="179"/>
      <c r="E30" s="35"/>
      <c r="F30" s="21"/>
      <c r="G30" s="21"/>
      <c r="H30" s="20"/>
      <c r="I30" s="36"/>
      <c r="J30" s="300"/>
      <c r="K30" s="302"/>
      <c r="L30" s="302"/>
      <c r="M30" s="302"/>
      <c r="N30" s="242">
        <f t="shared" si="5"/>
        <v>0</v>
      </c>
      <c r="O30" s="12"/>
      <c r="P30" s="12"/>
      <c r="Q30" s="12"/>
      <c r="R30" s="12"/>
      <c r="S30" s="300"/>
      <c r="T30" s="477"/>
      <c r="U30" s="302"/>
      <c r="V30" s="242" t="str">
        <f>IFERROR(IF(D30="tonnes/yr", $S30*$E30/($N$20*3.6), $T30*$E30*3.6/($N$20*3.6)), "Unfilled fields to left")</f>
        <v>Unfilled fields to left</v>
      </c>
      <c r="X30" s="21"/>
    </row>
    <row r="31" spans="2:29" s="14" customFormat="1">
      <c r="B31" s="16"/>
      <c r="C31" s="15"/>
      <c r="D31" s="179"/>
      <c r="E31" s="35"/>
      <c r="F31" s="21"/>
      <c r="G31" s="21"/>
      <c r="H31" s="20"/>
      <c r="I31" s="36"/>
      <c r="J31" s="300"/>
      <c r="K31" s="302"/>
      <c r="L31" s="302"/>
      <c r="M31" s="302"/>
      <c r="N31" s="242">
        <f t="shared" si="5"/>
        <v>0</v>
      </c>
      <c r="O31" s="12"/>
      <c r="P31" s="12"/>
      <c r="Q31" s="12"/>
      <c r="R31" s="12"/>
      <c r="S31" s="300"/>
      <c r="T31" s="477"/>
      <c r="U31" s="302"/>
      <c r="V31" s="242" t="str">
        <f>IFERROR(IF(D31="tonnes/yr", $S31*$E31/($N$20*3.6), $T31*$E31*3.6/($N$20*3.6)), "Unfilled fields to left")</f>
        <v>Unfilled fields to left</v>
      </c>
      <c r="X31" s="21"/>
    </row>
    <row r="32" spans="2:29">
      <c r="C32" s="17"/>
      <c r="D32" s="17"/>
      <c r="E32" s="140"/>
      <c r="F32" s="17"/>
      <c r="H32" s="18"/>
      <c r="I32" s="18"/>
      <c r="J32" s="40"/>
      <c r="K32" s="40"/>
      <c r="L32" s="40"/>
      <c r="M32" s="40"/>
      <c r="N32" s="40"/>
      <c r="O32" s="12"/>
      <c r="S32" s="40"/>
      <c r="T32" s="40"/>
      <c r="U32" s="40"/>
      <c r="V32" s="40"/>
      <c r="Y32" s="12"/>
    </row>
    <row r="33" spans="2:25">
      <c r="D33" s="17"/>
      <c r="E33" s="140"/>
      <c r="J33" s="39"/>
      <c r="K33" s="39"/>
      <c r="L33" s="39"/>
      <c r="M33" s="39"/>
      <c r="O33" s="12"/>
      <c r="S33" s="39"/>
      <c r="T33" s="39"/>
      <c r="U33" s="38" t="s">
        <v>1114</v>
      </c>
      <c r="V33" s="153">
        <f>SUM(V7:V32)</f>
        <v>0</v>
      </c>
      <c r="Y33" s="12"/>
    </row>
    <row r="34" spans="2:25">
      <c r="B34" s="145" t="s">
        <v>132</v>
      </c>
      <c r="C34" s="159"/>
      <c r="D34" s="159"/>
      <c r="E34" s="499"/>
      <c r="I34" s="12"/>
      <c r="J34" s="107"/>
      <c r="K34" s="107"/>
      <c r="L34" s="107"/>
      <c r="M34" s="107"/>
      <c r="N34" s="107"/>
      <c r="O34" s="12"/>
      <c r="S34" s="107"/>
      <c r="T34" s="107"/>
      <c r="U34" s="107"/>
      <c r="Y34" s="12"/>
    </row>
    <row r="35" spans="2:25">
      <c r="B35" s="16" t="s">
        <v>1086</v>
      </c>
      <c r="C35" s="15" t="s">
        <v>1087</v>
      </c>
      <c r="D35" s="15" t="s">
        <v>1088</v>
      </c>
      <c r="E35" s="501"/>
      <c r="G35" s="19"/>
      <c r="H35" s="12"/>
      <c r="I35" s="12"/>
      <c r="J35" s="107"/>
      <c r="K35" s="107"/>
      <c r="L35" s="107"/>
      <c r="M35" s="107"/>
      <c r="N35" s="107"/>
      <c r="O35" s="12"/>
      <c r="S35" s="107"/>
      <c r="T35" s="107"/>
      <c r="U35" s="107"/>
      <c r="V35" s="12"/>
      <c r="X35" s="25"/>
      <c r="Y35" s="12"/>
    </row>
    <row r="36" spans="2:25">
      <c r="B36" s="16"/>
      <c r="C36" s="15"/>
      <c r="D36" s="15"/>
      <c r="E36" s="507"/>
      <c r="H36" s="12"/>
      <c r="I36" s="12"/>
      <c r="J36" s="107"/>
      <c r="K36" s="107"/>
      <c r="L36" s="107"/>
      <c r="M36" s="107"/>
      <c r="N36" s="107"/>
      <c r="O36" s="12"/>
      <c r="S36" s="107"/>
      <c r="T36" s="107"/>
      <c r="U36" s="107"/>
      <c r="V36" s="12"/>
      <c r="X36" s="25"/>
      <c r="Y36" s="12"/>
    </row>
    <row r="37" spans="2:25">
      <c r="B37" s="16"/>
      <c r="C37" s="15"/>
      <c r="D37" s="15"/>
      <c r="E37" s="507"/>
      <c r="J37" s="39"/>
      <c r="K37" s="39"/>
      <c r="L37" s="39"/>
      <c r="M37" s="39"/>
      <c r="S37" s="39"/>
      <c r="T37" s="39"/>
      <c r="U37" s="39"/>
      <c r="X37" s="25"/>
    </row>
    <row r="38" spans="2:25">
      <c r="B38" s="16"/>
      <c r="C38" s="15"/>
      <c r="D38" s="15"/>
      <c r="E38" s="507"/>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G18"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G18"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EC0CFA44-26CE-4002-AF0C-1B44CABD9F5C}">
      <formula1>Flow_units</formula1>
    </dataValidation>
    <dataValidation type="custom" allowBlank="1" showInputMessage="1" showErrorMessage="1" error="Please do not change this formula" prompt="Please do not change this formula" sqref="V6:V1048576 W4 V1:V4 R6:R19 P1:R4 Q23:R1048576 N1:N7 N18:N19 P21:P1048576 N32:N1048576 O4 O6:O19 S5:V5" xr:uid="{1537DE9B-1C2F-4A19-A70E-5B165B93CCFA}">
      <formula1>"Please do not change this formula"</formula1>
    </dataValidation>
    <dataValidation type="custom" allowBlank="1" showInputMessage="1" showErrorMessage="1" error="Please do not change this formula" sqref="Q20:Q22 N8:N17 N20:N31 O20 O5:R5" xr:uid="{CE3AC6FE-8B21-4E29-88D3-229BB438702D}">
      <formula1>"Please do not change this formula"</formula1>
    </dataValidation>
    <dataValidation type="custom" allowBlank="1" showInputMessage="1" showErrorMessage="1" error="Please do not change" sqref="R20:R22" xr:uid="{0A614110-4339-451D-A70F-4B7EAEC5D5F2}">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75D02796-C31B-437F-BDD2-A3799894A238}">
      <formula1>0</formula1>
    </dataValidation>
  </dataValidations>
  <hyperlinks>
    <hyperlink ref="I2:J2" location="'Biogas Feedstock Transport'!A1" display="Go to the next step of this pathway" xr:uid="{E4EABEAE-1E61-4115-85B7-3DF4AA74CEA5}"/>
    <hyperlink ref="I2:K2" location="Biogas_Feedstock_Transport!A1" display="Go to the next step of this pathway" xr:uid="{6DCA5848-89E2-4509-84A4-9091B947A448}"/>
  </hyperlinks>
  <pageMargins left="0" right="0" top="0" bottom="0" header="0" footer="0"/>
  <pageSetup paperSize="9" orientation="portrait" r:id="rId10"/>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2500-000001000000}">
            <xm:f>AND(Path&lt;&gt;Units!$B$131,Path&lt;&gt;Units!$B$132,Path&lt;&gt;Units!$B$133,Path&lt;&gt;Units!$B$134,Master_Switch="On")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21" id="{00000000-000E-0000-1C00-000014000000}">
            <xm:f>AND(GHG_BIOMETHANE_REFORM!$D$5="Default",Master_Switch="On")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E1CF8-649C-4E14-9171-DC0132C95501}">
  <sheetPr codeName="Sheet25">
    <tabColor rgb="FFFF9900"/>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55"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20.453125" customWidth="1"/>
    <col min="16" max="16" width="8" customWidth="1"/>
    <col min="17" max="17" width="18.81640625" style="12" customWidth="1"/>
    <col min="18" max="18" width="17.54296875" style="12" customWidth="1"/>
    <col min="19" max="20" width="20.7265625" style="13" customWidth="1"/>
    <col min="21" max="21" width="22.7265625" style="13" customWidth="1"/>
    <col min="22" max="22" width="20.26953125" style="39" customWidth="1"/>
    <col min="23" max="23" width="7.1796875" style="12" customWidth="1"/>
    <col min="24" max="24" width="26" style="12" customWidth="1"/>
    <col min="26" max="16384" width="7.1796875" style="12"/>
  </cols>
  <sheetData>
    <row r="1" spans="1:29" ht="31.9" customHeight="1">
      <c r="A1" s="80" t="str">
        <f>IF(AND(Path&lt;&gt;Units!$B$131,Path&lt;&gt;Units!$B$132,Path&lt;&gt;Units!$B$133,Path&lt;&gt;Units!$B$134,Master_Switch="On"),"User should not fill in this sheet, but switch to other non-blank GHG worksheets","")</f>
        <v>User should not fill in this sheet, but switch to other non-blank GHG worksheets</v>
      </c>
      <c r="E1" s="256"/>
    </row>
    <row r="2" spans="1:29" ht="20.5" customHeight="1">
      <c r="B2" s="80" t="str">
        <f>IF(AND(GHG_BIOMETHANE_REFORM!$D$5="Default",Master_Switch="On"),"Default data selected for this step, move to the next step of the pathway","")</f>
        <v/>
      </c>
      <c r="E2" s="256"/>
      <c r="I2" s="729" t="s">
        <v>1093</v>
      </c>
      <c r="J2" s="731"/>
      <c r="K2" s="732"/>
      <c r="L2" s="39"/>
      <c r="M2" s="39"/>
    </row>
    <row r="3" spans="1:29" ht="15" customHeight="1">
      <c r="E3" s="256"/>
    </row>
    <row r="4" spans="1:29" ht="15.65" customHeight="1" thickBot="1">
      <c r="B4" s="3"/>
      <c r="C4" s="3"/>
      <c r="D4" s="3"/>
      <c r="E4" s="455"/>
      <c r="F4" s="3"/>
      <c r="G4" s="3"/>
      <c r="H4" s="1"/>
      <c r="I4" s="1"/>
      <c r="J4" s="1"/>
      <c r="K4" s="1"/>
      <c r="L4" s="1"/>
      <c r="M4" s="1"/>
      <c r="N4" s="37"/>
      <c r="O4" s="1"/>
      <c r="P4" s="1"/>
      <c r="Q4" s="3"/>
      <c r="R4" s="3"/>
      <c r="S4" s="1"/>
      <c r="T4" s="1"/>
      <c r="U4" s="1"/>
      <c r="V4" s="37"/>
      <c r="W4" s="37"/>
      <c r="X4" s="3"/>
    </row>
    <row r="5" spans="1:29"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9" ht="15" thickTop="1">
      <c r="E6" s="457"/>
      <c r="Q6"/>
      <c r="R6"/>
      <c r="S6"/>
      <c r="T6"/>
      <c r="U6"/>
      <c r="V6"/>
    </row>
    <row r="7" spans="1:29">
      <c r="B7" s="145" t="s">
        <v>1097</v>
      </c>
      <c r="C7" s="145"/>
      <c r="D7" s="145"/>
      <c r="E7" s="324"/>
      <c r="F7" s="145"/>
      <c r="G7" s="145"/>
      <c r="H7" s="145"/>
      <c r="I7" s="145"/>
      <c r="J7" s="145"/>
      <c r="K7" s="145"/>
      <c r="L7" s="145"/>
      <c r="M7" s="145"/>
      <c r="N7" s="301"/>
      <c r="Q7"/>
      <c r="R7"/>
      <c r="S7"/>
      <c r="T7"/>
      <c r="U7"/>
      <c r="V7"/>
      <c r="W7" s="19"/>
      <c r="X7" s="19"/>
      <c r="Y7" s="19"/>
      <c r="Z7" s="19"/>
      <c r="AA7" s="19"/>
      <c r="AB7" s="19"/>
      <c r="AC7" s="19"/>
    </row>
    <row r="8" spans="1:29">
      <c r="B8" s="16" t="s">
        <v>1115</v>
      </c>
      <c r="C8" s="184" t="s">
        <v>1192</v>
      </c>
      <c r="D8" s="179" t="s">
        <v>459</v>
      </c>
      <c r="E8" s="35"/>
      <c r="F8" s="21"/>
      <c r="G8" s="21"/>
      <c r="H8" s="20"/>
      <c r="I8" s="20"/>
      <c r="J8" s="300"/>
      <c r="K8" s="302"/>
      <c r="L8" s="302"/>
      <c r="M8" s="302"/>
      <c r="N8" s="242">
        <f t="shared" ref="N8:N17" si="0">IF($D8="MWh/yr (LHV)",$E8,$J8*$E8*(1-$L8)/Conversion_kWh_to_MJ)</f>
        <v>0</v>
      </c>
      <c r="O8" s="12"/>
      <c r="P8" s="12"/>
      <c r="S8" s="107"/>
      <c r="T8" s="107"/>
      <c r="U8" s="107"/>
      <c r="V8" s="12"/>
      <c r="X8" s="24"/>
      <c r="Y8" s="12"/>
    </row>
    <row r="9" spans="1:29">
      <c r="B9" s="186" t="s">
        <v>1021</v>
      </c>
      <c r="C9" s="184" t="s">
        <v>1098</v>
      </c>
      <c r="D9" s="179" t="s">
        <v>479</v>
      </c>
      <c r="E9" s="35"/>
      <c r="F9" s="21"/>
      <c r="G9" s="21"/>
      <c r="H9" s="20"/>
      <c r="I9" s="36"/>
      <c r="J9" s="300"/>
      <c r="K9" s="302"/>
      <c r="L9" s="302"/>
      <c r="M9" s="302"/>
      <c r="N9" s="242">
        <f t="shared" si="0"/>
        <v>0</v>
      </c>
      <c r="O9" s="12"/>
      <c r="P9" s="12"/>
      <c r="S9" s="35" t="str">
        <f>IF(B9="", "", IF(D9="MWh/yr (LHV)", "Use column to right", "Enter data here"))</f>
        <v>Use column to right</v>
      </c>
      <c r="T9" s="35" t="e">
        <f>INDEX(Proj_grid_intensity_kWh,MATCH(Operations_year,Proj_grid_year,0))/Conversion_kWh_to_MJ</f>
        <v>#N/A</v>
      </c>
      <c r="U9" s="35" t="s">
        <v>1064</v>
      </c>
      <c r="V9" s="242" t="str">
        <f t="shared" ref="V9:V17" si="1">IFERROR(IF(D9="tonnes/yr", $S9*$E9/($N$20*3.6), $T9*$E9*3.6/($N$20*3.6)), "Unfilled fields to left")</f>
        <v>Unfilled fields to left</v>
      </c>
      <c r="X9" s="25"/>
      <c r="Y9" s="12"/>
    </row>
    <row r="10" spans="1:29">
      <c r="B10" s="186" t="s">
        <v>1021</v>
      </c>
      <c r="C10" s="184"/>
      <c r="D10" s="179"/>
      <c r="E10" s="35"/>
      <c r="F10" s="21"/>
      <c r="G10" s="21"/>
      <c r="H10" s="20"/>
      <c r="I10" s="36"/>
      <c r="J10" s="300"/>
      <c r="K10" s="302"/>
      <c r="L10" s="302"/>
      <c r="M10" s="302"/>
      <c r="N10" s="242">
        <f t="shared" si="0"/>
        <v>0</v>
      </c>
      <c r="O10" s="12"/>
      <c r="P10" s="12"/>
      <c r="S10" s="35" t="str">
        <f>IF(B10="", "", IF(D10="MWh/yr (LHV)", "Use column to right", "Enter data here"))</f>
        <v>Enter data here</v>
      </c>
      <c r="T10" s="35" t="str">
        <f t="shared" ref="T10" si="2">IF(B10="", "", IF(D10="MWh/yr (LHV)", "Enter data here", "Use column to left"))</f>
        <v>Use column to left</v>
      </c>
      <c r="U10" s="35" t="s">
        <v>1100</v>
      </c>
      <c r="V10" s="242" t="str">
        <f t="shared" si="1"/>
        <v>Unfilled fields to left</v>
      </c>
      <c r="X10" s="25"/>
      <c r="Y10" s="12"/>
    </row>
    <row r="11" spans="1:29">
      <c r="B11" s="186" t="s">
        <v>1042</v>
      </c>
      <c r="C11" s="184" t="s">
        <v>1043</v>
      </c>
      <c r="D11" s="179" t="s">
        <v>459</v>
      </c>
      <c r="E11" s="35"/>
      <c r="F11" s="24"/>
      <c r="G11" s="21"/>
      <c r="H11" s="20"/>
      <c r="I11" s="36"/>
      <c r="J11" s="300"/>
      <c r="K11" s="302"/>
      <c r="L11" s="302"/>
      <c r="M11" s="302"/>
      <c r="N11" s="242">
        <f t="shared" si="0"/>
        <v>0</v>
      </c>
      <c r="O11" s="12"/>
      <c r="P11" s="12"/>
      <c r="S11" s="35" t="str">
        <f t="shared" ref="S11:S16" si="3">IF(B11="", "", IF(D11="MWh/yr (LHV)", "Use column to right", "Enter data here"))</f>
        <v>Enter data here</v>
      </c>
      <c r="T11" s="35" t="str">
        <f t="shared" ref="T11:T16" si="4">IF(B11="", "", IF(D11="MWh/yr (LHV)", "Enter data here", "Use column to left"))</f>
        <v>Use column to left</v>
      </c>
      <c r="U11" s="35" t="s">
        <v>1100</v>
      </c>
      <c r="V11" s="242" t="str">
        <f t="shared" si="1"/>
        <v>Unfilled fields to left</v>
      </c>
      <c r="X11" s="25"/>
      <c r="Y11" s="12"/>
    </row>
    <row r="12" spans="1:29">
      <c r="B12" s="186" t="s">
        <v>1042</v>
      </c>
      <c r="C12" s="184" t="s">
        <v>1010</v>
      </c>
      <c r="D12" s="179" t="s">
        <v>459</v>
      </c>
      <c r="E12" s="35"/>
      <c r="F12" s="21"/>
      <c r="G12" s="21"/>
      <c r="H12" s="20"/>
      <c r="I12" s="36"/>
      <c r="J12" s="300"/>
      <c r="K12" s="302"/>
      <c r="L12" s="302"/>
      <c r="M12" s="302"/>
      <c r="N12" s="242">
        <f t="shared" si="0"/>
        <v>0</v>
      </c>
      <c r="O12" s="12"/>
      <c r="P12" s="12"/>
      <c r="S12" s="35" t="str">
        <f t="shared" si="3"/>
        <v>Enter data here</v>
      </c>
      <c r="T12" s="35" t="str">
        <f t="shared" si="4"/>
        <v>Use column to left</v>
      </c>
      <c r="U12" s="35" t="s">
        <v>1100</v>
      </c>
      <c r="V12" s="242" t="str">
        <f t="shared" si="1"/>
        <v>Unfilled fields to left</v>
      </c>
      <c r="X12" s="25"/>
      <c r="Y12" s="12"/>
    </row>
    <row r="13" spans="1:29">
      <c r="B13" s="186" t="s">
        <v>1051</v>
      </c>
      <c r="C13" s="184" t="s">
        <v>1101</v>
      </c>
      <c r="D13" s="179" t="s">
        <v>459</v>
      </c>
      <c r="E13" s="35"/>
      <c r="F13" s="21"/>
      <c r="G13" s="21"/>
      <c r="H13" s="20"/>
      <c r="I13" s="36"/>
      <c r="J13" s="300"/>
      <c r="K13" s="302"/>
      <c r="L13" s="302"/>
      <c r="M13" s="302"/>
      <c r="N13" s="242">
        <f t="shared" si="0"/>
        <v>0</v>
      </c>
      <c r="O13" s="12"/>
      <c r="P13" s="12"/>
      <c r="S13" s="35" t="str">
        <f t="shared" si="3"/>
        <v>Enter data here</v>
      </c>
      <c r="T13" s="35" t="str">
        <f t="shared" si="4"/>
        <v>Use column to left</v>
      </c>
      <c r="U13" s="35" t="s">
        <v>1100</v>
      </c>
      <c r="V13" s="242" t="str">
        <f t="shared" si="1"/>
        <v>Unfilled fields to left</v>
      </c>
      <c r="X13" s="25"/>
      <c r="Y13" s="12"/>
    </row>
    <row r="14" spans="1:29">
      <c r="B14" s="186" t="s">
        <v>1051</v>
      </c>
      <c r="C14" s="184"/>
      <c r="D14" s="179"/>
      <c r="E14" s="35"/>
      <c r="F14" s="21"/>
      <c r="G14" s="21"/>
      <c r="H14" s="20"/>
      <c r="I14" s="36"/>
      <c r="J14" s="300"/>
      <c r="K14" s="302"/>
      <c r="L14" s="302"/>
      <c r="M14" s="302"/>
      <c r="N14" s="242">
        <f t="shared" si="0"/>
        <v>0</v>
      </c>
      <c r="O14" s="12"/>
      <c r="P14" s="12"/>
      <c r="S14" s="35" t="str">
        <f t="shared" si="3"/>
        <v>Enter data here</v>
      </c>
      <c r="T14" s="35" t="str">
        <f t="shared" si="4"/>
        <v>Use column to left</v>
      </c>
      <c r="U14" s="35" t="s">
        <v>1100</v>
      </c>
      <c r="V14" s="242" t="str">
        <f t="shared" si="1"/>
        <v>Unfilled fields to left</v>
      </c>
      <c r="X14" s="25"/>
      <c r="Y14" s="12"/>
    </row>
    <row r="15" spans="1:29">
      <c r="B15" s="186" t="s">
        <v>1102</v>
      </c>
      <c r="C15" s="184" t="s">
        <v>1055</v>
      </c>
      <c r="D15" s="179" t="s">
        <v>459</v>
      </c>
      <c r="E15" s="35"/>
      <c r="F15" s="21"/>
      <c r="G15" s="21"/>
      <c r="H15" s="20"/>
      <c r="I15" s="36"/>
      <c r="J15" s="300"/>
      <c r="K15" s="302"/>
      <c r="L15" s="302"/>
      <c r="M15" s="302"/>
      <c r="N15" s="242">
        <f t="shared" si="0"/>
        <v>0</v>
      </c>
      <c r="O15" s="12"/>
      <c r="P15" s="12"/>
      <c r="S15" s="35" t="str">
        <f t="shared" si="3"/>
        <v>Enter data here</v>
      </c>
      <c r="T15" s="35" t="str">
        <f t="shared" si="4"/>
        <v>Use column to left</v>
      </c>
      <c r="U15" s="35" t="s">
        <v>1100</v>
      </c>
      <c r="V15" s="242" t="str">
        <f t="shared" si="1"/>
        <v>Unfilled fields to left</v>
      </c>
      <c r="X15" s="25"/>
      <c r="Y15" s="12"/>
    </row>
    <row r="16" spans="1:29">
      <c r="B16" s="186" t="s">
        <v>1102</v>
      </c>
      <c r="C16" s="15"/>
      <c r="D16" s="179"/>
      <c r="E16" s="35"/>
      <c r="F16" s="21"/>
      <c r="G16" s="21"/>
      <c r="H16" s="20"/>
      <c r="I16" s="36"/>
      <c r="J16" s="300"/>
      <c r="K16" s="302"/>
      <c r="L16" s="302"/>
      <c r="M16" s="302"/>
      <c r="N16" s="242">
        <f t="shared" si="0"/>
        <v>0</v>
      </c>
      <c r="O16" s="12"/>
      <c r="P16" s="12"/>
      <c r="S16" s="35" t="str">
        <f t="shared" si="3"/>
        <v>Enter data here</v>
      </c>
      <c r="T16" s="35" t="str">
        <f t="shared" si="4"/>
        <v>Use column to left</v>
      </c>
      <c r="U16" s="35" t="s">
        <v>1100</v>
      </c>
      <c r="V16" s="242" t="str">
        <f t="shared" si="1"/>
        <v>Unfilled fields to left</v>
      </c>
      <c r="X16" s="25"/>
      <c r="Y16" s="12"/>
    </row>
    <row r="17" spans="2:29">
      <c r="B17" s="16"/>
      <c r="C17" s="15"/>
      <c r="D17" s="179"/>
      <c r="E17" s="35"/>
      <c r="F17" s="21"/>
      <c r="G17" s="21"/>
      <c r="H17" s="20"/>
      <c r="I17" s="36"/>
      <c r="J17" s="300"/>
      <c r="K17" s="302"/>
      <c r="L17" s="302"/>
      <c r="M17" s="302"/>
      <c r="N17" s="242">
        <f t="shared" si="0"/>
        <v>0</v>
      </c>
      <c r="O17" s="12"/>
      <c r="P17" s="12"/>
      <c r="S17" s="302"/>
      <c r="T17" s="300"/>
      <c r="U17" s="302"/>
      <c r="V17" s="242" t="str">
        <f t="shared" si="1"/>
        <v>Unfilled fields to left</v>
      </c>
      <c r="X17" s="25"/>
      <c r="Y17" s="12"/>
    </row>
    <row r="18" spans="2:29">
      <c r="C18" s="17"/>
      <c r="D18" s="17"/>
      <c r="E18" s="506"/>
      <c r="F18" s="26"/>
      <c r="G18" s="27"/>
      <c r="H18" s="22"/>
      <c r="I18" s="22"/>
      <c r="J18" s="41"/>
      <c r="K18" s="41"/>
      <c r="L18" s="41"/>
      <c r="M18" s="41"/>
      <c r="N18" s="41"/>
      <c r="S18" s="41"/>
      <c r="T18" s="41"/>
      <c r="U18" s="41"/>
      <c r="V18" s="41"/>
      <c r="X18" s="27"/>
      <c r="Y18" s="12"/>
    </row>
    <row r="19" spans="2:29">
      <c r="B19" s="145" t="s">
        <v>1103</v>
      </c>
      <c r="C19" s="145"/>
      <c r="D19" s="145"/>
      <c r="E19" s="301"/>
      <c r="F19" s="145"/>
      <c r="G19" s="145"/>
      <c r="H19" s="145"/>
      <c r="I19" s="145"/>
      <c r="J19" s="301"/>
      <c r="K19" s="301"/>
      <c r="L19" s="301"/>
      <c r="M19" s="301"/>
      <c r="N19" s="301"/>
      <c r="Q19"/>
      <c r="R19"/>
      <c r="S19" s="40"/>
      <c r="T19" s="40"/>
      <c r="U19" s="40"/>
      <c r="V19" s="40"/>
      <c r="W19" s="19"/>
      <c r="X19" s="19"/>
      <c r="Y19" s="19"/>
      <c r="Z19" s="19"/>
      <c r="AA19" s="19"/>
      <c r="AB19" s="19"/>
      <c r="AC19" s="19"/>
    </row>
    <row r="20" spans="2:29">
      <c r="B20" s="16" t="s">
        <v>1104</v>
      </c>
      <c r="C20" s="184" t="s">
        <v>1192</v>
      </c>
      <c r="D20" s="179" t="s">
        <v>459</v>
      </c>
      <c r="E20" s="35"/>
      <c r="F20" s="21"/>
      <c r="G20" s="21"/>
      <c r="H20" s="21"/>
      <c r="I20" s="21"/>
      <c r="J20" s="300"/>
      <c r="K20" s="306"/>
      <c r="L20" s="306"/>
      <c r="M20" s="306"/>
      <c r="N20" s="242">
        <f t="shared" ref="N20:N31" si="5">IF($D20="MWh/yr (LHV)",$E20,$J20*$E20*(1-$L20)/Conversion_kWh_to_MJ)</f>
        <v>0</v>
      </c>
      <c r="O20" s="246" t="str">
        <f>IFERROR(N20/N8,"")</f>
        <v/>
      </c>
      <c r="Q20" s="515">
        <f>IF($D20="MWh/yr (LHV)",$E20,$E20*MAX(0, $J20*(1-$L20)-2.441*$L20)/Conversion_kWh_to_MJ)</f>
        <v>0</v>
      </c>
      <c r="R20" s="245" t="str">
        <f>IFERROR(Q20/(SUM($Q$20:$Q$22)),"")</f>
        <v/>
      </c>
      <c r="S20" s="42"/>
      <c r="T20" s="42"/>
      <c r="U20" s="42"/>
      <c r="V20" s="42"/>
      <c r="X20" s="21"/>
      <c r="Y20" s="12"/>
    </row>
    <row r="21" spans="2:29" s="14" customFormat="1">
      <c r="B21" s="186" t="s">
        <v>1008</v>
      </c>
      <c r="C21" s="184" t="s">
        <v>1106</v>
      </c>
      <c r="D21" s="179" t="s">
        <v>459</v>
      </c>
      <c r="E21" s="35"/>
      <c r="F21" s="21"/>
      <c r="G21" s="21"/>
      <c r="H21" s="20"/>
      <c r="I21" s="33"/>
      <c r="J21" s="300"/>
      <c r="K21" s="302"/>
      <c r="L21" s="302"/>
      <c r="M21" s="302"/>
      <c r="N21" s="242">
        <f t="shared" si="5"/>
        <v>0</v>
      </c>
      <c r="O21" s="12"/>
      <c r="P21" s="12"/>
      <c r="Q21" s="515">
        <f>IF($D21="MWh/yr (LHV)",$E21,$E21*MAX(0, $J21*(1-$L21)-2.441*$L21)/Conversion_kWh_to_MJ)</f>
        <v>0</v>
      </c>
      <c r="R21" s="245" t="str">
        <f t="shared" ref="R21:R22" si="6">IFERROR(Q21/(SUM($Q$20:$Q$22)),"")</f>
        <v/>
      </c>
      <c r="S21" s="42"/>
      <c r="T21" s="42"/>
      <c r="U21" s="107"/>
      <c r="V21" s="12"/>
      <c r="W21" s="23"/>
      <c r="X21" s="21"/>
      <c r="Y21" s="23"/>
      <c r="Z21" s="42"/>
      <c r="AB21" s="12"/>
    </row>
    <row r="22" spans="2:29" s="14" customFormat="1">
      <c r="B22" s="186" t="s">
        <v>1008</v>
      </c>
      <c r="C22" s="184" t="s">
        <v>1107</v>
      </c>
      <c r="D22" s="179" t="s">
        <v>459</v>
      </c>
      <c r="E22" s="35"/>
      <c r="F22" s="21"/>
      <c r="G22" s="21"/>
      <c r="H22" s="20"/>
      <c r="I22" s="20"/>
      <c r="J22" s="302"/>
      <c r="K22" s="302"/>
      <c r="L22" s="302"/>
      <c r="M22" s="302"/>
      <c r="N22" s="242">
        <f t="shared" si="5"/>
        <v>0</v>
      </c>
      <c r="O22" s="12"/>
      <c r="P22" s="12"/>
      <c r="Q22" s="515">
        <f>IF($D22="MWh/yr (LHV)",$E22,$E22*MAX(0, $J22*(1-$L22)-2.441*$L22)/Conversion_kWh_to_MJ)</f>
        <v>0</v>
      </c>
      <c r="R22" s="245" t="str">
        <f t="shared" si="6"/>
        <v/>
      </c>
      <c r="S22" s="42"/>
      <c r="T22" s="42"/>
      <c r="U22" s="107"/>
      <c r="V22" s="12"/>
      <c r="W22" s="23"/>
      <c r="X22" s="21"/>
      <c r="Y22" s="23"/>
      <c r="Z22" s="42"/>
      <c r="AB22" s="12"/>
    </row>
    <row r="23" spans="2:29" s="14" customFormat="1">
      <c r="B23" s="186" t="s">
        <v>1013</v>
      </c>
      <c r="C23" s="184" t="s">
        <v>1108</v>
      </c>
      <c r="D23" s="179" t="s">
        <v>459</v>
      </c>
      <c r="E23" s="35"/>
      <c r="F23" s="21"/>
      <c r="G23" s="21"/>
      <c r="H23" s="20"/>
      <c r="I23" s="20"/>
      <c r="J23" s="302"/>
      <c r="K23" s="302"/>
      <c r="L23" s="302"/>
      <c r="M23" s="302"/>
      <c r="N23" s="242">
        <f t="shared" si="5"/>
        <v>0</v>
      </c>
      <c r="O23" s="12"/>
      <c r="P23" s="12"/>
      <c r="Q23" s="12"/>
      <c r="R23" s="12"/>
      <c r="S23" s="107"/>
      <c r="T23" s="107"/>
      <c r="U23" s="107"/>
      <c r="V23" s="12"/>
      <c r="W23" s="23"/>
      <c r="X23" s="21"/>
      <c r="Y23" s="23"/>
      <c r="Z23" s="42"/>
      <c r="AB23" s="12"/>
    </row>
    <row r="24" spans="2:29" s="14" customFormat="1">
      <c r="B24" s="186" t="s">
        <v>1013</v>
      </c>
      <c r="C24" s="184" t="s">
        <v>1015</v>
      </c>
      <c r="D24" s="179" t="s">
        <v>459</v>
      </c>
      <c r="E24" s="35"/>
      <c r="F24" s="21"/>
      <c r="G24" s="21"/>
      <c r="H24" s="20"/>
      <c r="I24" s="20"/>
      <c r="J24" s="302"/>
      <c r="K24" s="302"/>
      <c r="L24" s="302"/>
      <c r="M24" s="302"/>
      <c r="N24" s="242">
        <f t="shared" si="5"/>
        <v>0</v>
      </c>
      <c r="O24" s="12"/>
      <c r="P24" s="12"/>
      <c r="Q24" s="12"/>
      <c r="R24" s="12"/>
      <c r="S24" s="107"/>
      <c r="T24" s="107"/>
      <c r="U24" s="107"/>
      <c r="V24" s="12"/>
      <c r="W24" s="23"/>
      <c r="X24" s="21"/>
      <c r="Y24" s="23"/>
      <c r="Z24" s="42"/>
      <c r="AB24" s="12"/>
    </row>
    <row r="25" spans="2:29" s="14" customFormat="1">
      <c r="B25" s="186" t="s">
        <v>1016</v>
      </c>
      <c r="C25" s="184" t="s">
        <v>1017</v>
      </c>
      <c r="D25" s="179" t="s">
        <v>459</v>
      </c>
      <c r="E25" s="35"/>
      <c r="F25" s="21"/>
      <c r="G25" s="21"/>
      <c r="H25" s="20"/>
      <c r="I25" s="36"/>
      <c r="J25" s="300"/>
      <c r="K25" s="302"/>
      <c r="L25" s="302"/>
      <c r="M25" s="302"/>
      <c r="N25" s="242">
        <f t="shared" si="5"/>
        <v>0</v>
      </c>
      <c r="O25" s="12"/>
      <c r="P25" s="12"/>
      <c r="Q25" s="12"/>
      <c r="R25" s="12"/>
      <c r="S25" s="107"/>
      <c r="T25" s="107"/>
      <c r="U25" s="107"/>
      <c r="V25" s="12"/>
      <c r="X25" s="21"/>
    </row>
    <row r="26" spans="2:29" s="14" customFormat="1">
      <c r="B26" s="186" t="s">
        <v>1016</v>
      </c>
      <c r="C26" s="184" t="s">
        <v>1018</v>
      </c>
      <c r="D26" s="179" t="s">
        <v>459</v>
      </c>
      <c r="E26" s="35"/>
      <c r="F26" s="21"/>
      <c r="G26" s="21"/>
      <c r="H26" s="20"/>
      <c r="I26" s="36"/>
      <c r="J26" s="300"/>
      <c r="K26" s="302"/>
      <c r="L26" s="302"/>
      <c r="M26" s="302"/>
      <c r="N26" s="242">
        <f t="shared" si="5"/>
        <v>0</v>
      </c>
      <c r="O26" s="12"/>
      <c r="P26" s="12"/>
      <c r="Q26" s="12"/>
      <c r="R26" s="12"/>
      <c r="S26" s="107"/>
      <c r="T26" s="107"/>
      <c r="U26" s="107"/>
      <c r="V26" s="12"/>
      <c r="X26" s="21"/>
    </row>
    <row r="27" spans="2:29" s="14" customFormat="1">
      <c r="B27" s="186" t="s">
        <v>1057</v>
      </c>
      <c r="C27" s="184" t="s">
        <v>1182</v>
      </c>
      <c r="D27" s="179" t="s">
        <v>459</v>
      </c>
      <c r="E27" s="35"/>
      <c r="F27" s="34"/>
      <c r="G27" s="21"/>
      <c r="H27" s="20"/>
      <c r="I27" s="36"/>
      <c r="J27" s="300"/>
      <c r="K27" s="302"/>
      <c r="L27" s="302"/>
      <c r="M27" s="302"/>
      <c r="N27" s="242">
        <f t="shared" si="5"/>
        <v>0</v>
      </c>
      <c r="O27" s="12"/>
      <c r="P27" s="12"/>
      <c r="Q27" s="12"/>
      <c r="R27" s="12"/>
      <c r="S27" s="300">
        <v>1000</v>
      </c>
      <c r="T27" s="477"/>
      <c r="U27" s="35" t="s">
        <v>1118</v>
      </c>
      <c r="V27" s="242" t="str">
        <f>IFERROR(IF(D27="tonnes/yr", $S27*$E27/($N$20*3.6), $T27*$E27*3.6/($N$20*3.6)), "Unfilled fields to left")</f>
        <v>Unfilled fields to left</v>
      </c>
      <c r="X27" s="21"/>
    </row>
    <row r="28" spans="2:29" s="14" customFormat="1">
      <c r="B28" s="186" t="s">
        <v>1113</v>
      </c>
      <c r="C28" s="184" t="s">
        <v>1073</v>
      </c>
      <c r="D28" s="179" t="s">
        <v>459</v>
      </c>
      <c r="E28" s="35"/>
      <c r="F28" s="34"/>
      <c r="G28" s="21"/>
      <c r="H28" s="20"/>
      <c r="I28" s="36"/>
      <c r="J28" s="300"/>
      <c r="K28" s="302"/>
      <c r="L28" s="302"/>
      <c r="M28" s="302"/>
      <c r="N28" s="242">
        <f t="shared" si="5"/>
        <v>0</v>
      </c>
      <c r="O28" s="12"/>
      <c r="P28" s="12"/>
      <c r="Q28" s="12"/>
      <c r="R28" s="12"/>
      <c r="S28" s="300">
        <f>28*1000</f>
        <v>28000</v>
      </c>
      <c r="T28" s="477"/>
      <c r="U28" s="35" t="s">
        <v>1059</v>
      </c>
      <c r="V28" s="242" t="str">
        <f>IFERROR(IF(D28="tonnes/yr", $S28*$E28/($N$20*3.6), $T28*$E28*3.6/($N$20*3.6)), "Unfilled fields to left")</f>
        <v>Unfilled fields to left</v>
      </c>
      <c r="X28" s="21"/>
    </row>
    <row r="29" spans="2:29" s="14" customFormat="1">
      <c r="B29" s="186" t="s">
        <v>1113</v>
      </c>
      <c r="C29" s="184" t="s">
        <v>1075</v>
      </c>
      <c r="D29" s="179" t="s">
        <v>459</v>
      </c>
      <c r="E29" s="35"/>
      <c r="F29" s="21"/>
      <c r="G29" s="21"/>
      <c r="H29" s="20"/>
      <c r="I29" s="36"/>
      <c r="J29" s="300"/>
      <c r="K29" s="302"/>
      <c r="L29" s="302"/>
      <c r="M29" s="302"/>
      <c r="N29" s="242">
        <f t="shared" si="5"/>
        <v>0</v>
      </c>
      <c r="O29" s="12"/>
      <c r="P29" s="12"/>
      <c r="Q29" s="12"/>
      <c r="R29" s="12"/>
      <c r="S29" s="35">
        <v>265000</v>
      </c>
      <c r="T29" s="518"/>
      <c r="U29" s="35" t="s">
        <v>1059</v>
      </c>
      <c r="V29" s="242" t="str">
        <f>IFERROR(IF(D29="tonnes/yr", $S29*$E29/($N$20*3.6), $T29*$E29*3.6/($N$20*3.6)), "Unfilled fields to left")</f>
        <v>Unfilled fields to left</v>
      </c>
      <c r="X29" s="21"/>
    </row>
    <row r="30" spans="2:29" s="14" customFormat="1">
      <c r="B30" s="16"/>
      <c r="C30" s="15"/>
      <c r="D30" s="179"/>
      <c r="E30" s="35"/>
      <c r="F30" s="21"/>
      <c r="G30" s="21"/>
      <c r="H30" s="20"/>
      <c r="I30" s="36"/>
      <c r="J30" s="300"/>
      <c r="K30" s="302"/>
      <c r="L30" s="302"/>
      <c r="M30" s="302"/>
      <c r="N30" s="242">
        <f t="shared" si="5"/>
        <v>0</v>
      </c>
      <c r="O30" s="12"/>
      <c r="P30" s="12"/>
      <c r="Q30" s="12"/>
      <c r="R30" s="12"/>
      <c r="S30" s="300"/>
      <c r="T30" s="477"/>
      <c r="U30" s="302"/>
      <c r="V30" s="242" t="str">
        <f>IFERROR(IF(D30="tonnes/yr", $S30*$E30/($N$20*3.6), $T30*$E30*3.6/($N$20*3.6)), "Unfilled fields to left")</f>
        <v>Unfilled fields to left</v>
      </c>
      <c r="X30" s="21"/>
    </row>
    <row r="31" spans="2:29" s="14" customFormat="1">
      <c r="B31" s="16"/>
      <c r="C31" s="15"/>
      <c r="D31" s="179"/>
      <c r="E31" s="35"/>
      <c r="F31" s="21"/>
      <c r="G31" s="21"/>
      <c r="H31" s="20"/>
      <c r="I31" s="36"/>
      <c r="J31" s="300"/>
      <c r="K31" s="302"/>
      <c r="L31" s="302"/>
      <c r="M31" s="302"/>
      <c r="N31" s="242">
        <f t="shared" si="5"/>
        <v>0</v>
      </c>
      <c r="O31" s="12"/>
      <c r="P31" s="12"/>
      <c r="Q31" s="12"/>
      <c r="R31" s="12"/>
      <c r="S31" s="300"/>
      <c r="T31" s="477"/>
      <c r="U31" s="302"/>
      <c r="V31" s="242" t="str">
        <f>IFERROR(IF(D31="tonnes/yr", $S31*$E31/($N$20*3.6), $T31*$E31*3.6/($N$20*3.6)), "Unfilled fields to left")</f>
        <v>Unfilled fields to left</v>
      </c>
      <c r="X31" s="21"/>
    </row>
    <row r="32" spans="2:29">
      <c r="C32" s="17"/>
      <c r="D32" s="17"/>
      <c r="E32" s="140"/>
      <c r="F32" s="17"/>
      <c r="H32" s="18"/>
      <c r="I32" s="18"/>
      <c r="J32" s="40"/>
      <c r="K32" s="40"/>
      <c r="L32" s="40"/>
      <c r="M32" s="40"/>
      <c r="N32" s="40"/>
      <c r="O32" s="12"/>
      <c r="P32" s="12"/>
      <c r="S32" s="40"/>
      <c r="T32" s="40"/>
      <c r="U32" s="40"/>
      <c r="V32" s="40"/>
      <c r="Y32" s="12"/>
    </row>
    <row r="33" spans="2:25">
      <c r="D33" s="17"/>
      <c r="E33" s="140"/>
      <c r="J33" s="39"/>
      <c r="K33" s="39"/>
      <c r="L33" s="39"/>
      <c r="M33" s="39"/>
      <c r="O33" s="12"/>
      <c r="P33" s="12"/>
      <c r="S33" s="39"/>
      <c r="T33" s="39"/>
      <c r="U33" s="38" t="s">
        <v>1114</v>
      </c>
      <c r="V33" s="153">
        <f>SUM(V7:V32)</f>
        <v>0</v>
      </c>
      <c r="W33" s="91"/>
      <c r="Y33" s="12"/>
    </row>
    <row r="34" spans="2:25">
      <c r="B34" s="145" t="s">
        <v>132</v>
      </c>
      <c r="C34" s="159"/>
      <c r="D34" s="159"/>
      <c r="E34" s="499"/>
      <c r="I34" s="12"/>
      <c r="J34" s="107"/>
      <c r="K34" s="107"/>
      <c r="L34" s="107"/>
      <c r="M34" s="107"/>
      <c r="N34" s="107"/>
      <c r="O34" s="12"/>
      <c r="P34" s="12"/>
      <c r="S34" s="107"/>
      <c r="T34" s="107"/>
      <c r="U34" s="107"/>
      <c r="Y34" s="12"/>
    </row>
    <row r="35" spans="2:25">
      <c r="B35" s="16" t="s">
        <v>1086</v>
      </c>
      <c r="C35" s="15" t="s">
        <v>1087</v>
      </c>
      <c r="D35" s="15" t="s">
        <v>1088</v>
      </c>
      <c r="E35" s="501"/>
      <c r="G35" s="19"/>
      <c r="H35" s="12"/>
      <c r="I35" s="12"/>
      <c r="J35" s="107"/>
      <c r="K35" s="107"/>
      <c r="L35" s="107"/>
      <c r="M35" s="107"/>
      <c r="N35" s="107"/>
      <c r="O35" s="12"/>
      <c r="P35" s="12"/>
      <c r="S35" s="107"/>
      <c r="T35" s="107"/>
      <c r="U35" s="107"/>
      <c r="V35" s="12"/>
      <c r="X35" s="25"/>
      <c r="Y35" s="12"/>
    </row>
    <row r="36" spans="2:25">
      <c r="B36" s="16" t="s">
        <v>1119</v>
      </c>
      <c r="C36" s="15" t="s">
        <v>1120</v>
      </c>
      <c r="D36" s="15" t="s">
        <v>299</v>
      </c>
      <c r="E36" s="501"/>
      <c r="H36" s="12"/>
      <c r="I36" s="12"/>
      <c r="J36" s="107"/>
      <c r="K36" s="107"/>
      <c r="L36" s="107"/>
      <c r="M36" s="107"/>
      <c r="N36" s="107"/>
      <c r="O36" s="12"/>
      <c r="P36" s="12"/>
      <c r="S36" s="107"/>
      <c r="T36" s="107"/>
      <c r="U36" s="107"/>
      <c r="V36" s="12"/>
      <c r="X36" s="25"/>
      <c r="Y36" s="12"/>
    </row>
    <row r="37" spans="2:25">
      <c r="B37" s="16"/>
      <c r="C37" s="15"/>
      <c r="D37" s="15"/>
      <c r="E37" s="507"/>
      <c r="J37" s="39"/>
      <c r="K37" s="39"/>
      <c r="L37" s="39"/>
      <c r="M37" s="39"/>
      <c r="S37" s="39"/>
      <c r="T37" s="39"/>
      <c r="U37" s="39"/>
      <c r="X37" s="25"/>
    </row>
    <row r="38" spans="2:25">
      <c r="B38" s="16"/>
      <c r="C38" s="15"/>
      <c r="D38" s="15"/>
      <c r="E38" s="507"/>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Q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Q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C6F404F1-1F85-42EB-B2D8-58635D8D1B63}">
      <formula1>Flow_units</formula1>
    </dataValidation>
    <dataValidation type="custom" allowBlank="1" showInputMessage="1" showErrorMessage="1" error="Please do not change this formula" prompt="Please do not change this formula" sqref="V6:V1048576 W4 V1:V4 S5:V5" xr:uid="{17F28FCC-D53E-4252-B366-D802633E8088}">
      <formula1>"Please do not change this formula"</formula1>
    </dataValidation>
    <dataValidation type="custom" allowBlank="1" showInputMessage="1" showErrorMessage="1" error="Please do not change this formula" sqref="R6:R19 R23:R1048576 N1:N1048576 O1:R5 O6:Q1048576" xr:uid="{E836F43C-D732-4BB5-BE9C-9AA8CFD219FF}">
      <formula1>"Please do not change this formula"</formula1>
    </dataValidation>
    <dataValidation type="custom" allowBlank="1" showInputMessage="1" showErrorMessage="1" error="Please do not change" sqref="R20:R22" xr:uid="{31ECB658-D653-444B-B285-D7E64A42B6E7}">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9AA081F3-BC20-4B22-8A46-B7B85E0CA5B3}">
      <formula1>0</formula1>
    </dataValidation>
  </dataValidations>
  <hyperlinks>
    <hyperlink ref="I2:J2" location="'Biogas+Biomethane Upgrading'!A1" display="Go to the next step of this pathway" xr:uid="{A381316F-B512-470C-ADA2-9735850A4A2F}"/>
    <hyperlink ref="I2:K2" location="'Biogas+Biomethane_Upgrading'!A1" display="Go to the next step of this pathway" xr:uid="{1E95A4E4-F0E4-4F7E-9AC3-72463EE5C999}"/>
  </hyperlinks>
  <pageMargins left="0" right="0" top="0" bottom="0" header="0" footer="0"/>
  <pageSetup paperSize="9" orientation="portrait" r:id="rId10"/>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2600-000001000000}">
            <xm:f>AND(Path&lt;&gt;Units!$B$131,Path&lt;&gt;Units!$B$132,Path&lt;&gt;Units!$B$133,Path&lt;&gt;Units!$B$134,Master_Switch="On")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21" id="{00000000-000E-0000-1D00-000014000000}">
            <xm:f>AND(GHG_BIOMETHANE_REFORM!$D$5="Default",Master_Switch="On")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66708-80EF-4BDC-A44F-BE11839D89B1}">
  <sheetPr codeName="Sheet43">
    <tabColor theme="8" tint="0.59999389629810485"/>
  </sheetPr>
  <dimension ref="B1:W112"/>
  <sheetViews>
    <sheetView showGridLines="0" zoomScaleNormal="100" workbookViewId="0"/>
  </sheetViews>
  <sheetFormatPr defaultRowHeight="14.5"/>
  <sheetData>
    <row r="1" spans="2:23" ht="15" thickBot="1">
      <c r="B1" s="3" t="s">
        <v>123</v>
      </c>
      <c r="C1" s="3"/>
      <c r="D1" s="3"/>
    </row>
    <row r="2" spans="2:23" ht="15.5" thickTop="1" thickBot="1">
      <c r="B2" s="177" t="s">
        <v>124</v>
      </c>
      <c r="C2" s="177"/>
      <c r="D2" s="177"/>
      <c r="E2" s="177"/>
      <c r="F2" s="177"/>
      <c r="G2" s="177"/>
      <c r="H2" s="177"/>
      <c r="I2" s="177"/>
      <c r="J2" s="177"/>
      <c r="K2" s="177"/>
      <c r="L2" s="177"/>
      <c r="M2" s="177"/>
    </row>
    <row r="4" spans="2:23">
      <c r="B4" s="30" t="s">
        <v>106</v>
      </c>
    </row>
    <row r="5" spans="2:23">
      <c r="B5" s="32"/>
      <c r="C5" s="635" t="s">
        <v>107</v>
      </c>
      <c r="D5" s="636"/>
      <c r="E5" s="636"/>
      <c r="F5" s="636"/>
      <c r="G5" s="636"/>
      <c r="H5" s="637"/>
    </row>
    <row r="6" spans="2:23">
      <c r="B6" s="181"/>
      <c r="C6" s="635" t="s">
        <v>108</v>
      </c>
      <c r="D6" s="636"/>
      <c r="E6" s="636"/>
      <c r="F6" s="636"/>
      <c r="G6" s="636"/>
      <c r="H6" s="637"/>
    </row>
    <row r="7" spans="2:23">
      <c r="B7" s="57"/>
      <c r="C7" s="635" t="s">
        <v>109</v>
      </c>
      <c r="D7" s="636"/>
      <c r="E7" s="636"/>
      <c r="F7" s="636"/>
      <c r="G7" s="636"/>
      <c r="H7" s="637"/>
    </row>
    <row r="8" spans="2:23">
      <c r="D8" s="178"/>
      <c r="E8" s="178"/>
      <c r="F8" s="178"/>
      <c r="G8" s="178"/>
      <c r="H8" s="178"/>
    </row>
    <row r="9" spans="2:23" ht="15" thickBot="1">
      <c r="B9" s="176" t="s">
        <v>125</v>
      </c>
      <c r="C9" s="176"/>
      <c r="D9" s="176"/>
      <c r="E9" s="178"/>
    </row>
    <row r="10" spans="2:23" ht="15" thickTop="1"/>
    <row r="11" spans="2:23" ht="30.65" customHeight="1">
      <c r="B11" s="643" t="s">
        <v>126</v>
      </c>
      <c r="C11" s="643"/>
      <c r="D11" s="643"/>
      <c r="E11" s="643"/>
      <c r="F11" s="643"/>
      <c r="G11" s="643"/>
      <c r="H11" s="643"/>
      <c r="I11" s="643"/>
      <c r="J11" s="643"/>
      <c r="K11" s="643"/>
      <c r="L11" s="643"/>
      <c r="M11" s="643"/>
      <c r="N11" s="643"/>
      <c r="O11" s="643"/>
      <c r="P11" s="643"/>
      <c r="Q11" s="643"/>
      <c r="R11" s="643"/>
      <c r="S11" s="643"/>
      <c r="T11" s="643"/>
      <c r="U11" s="643"/>
      <c r="V11" s="643"/>
      <c r="W11" s="643"/>
    </row>
    <row r="37" spans="2:23" ht="114.75" customHeight="1">
      <c r="B37" s="643" t="s">
        <v>127</v>
      </c>
      <c r="C37" s="643"/>
      <c r="D37" s="643"/>
      <c r="E37" s="643"/>
      <c r="F37" s="643"/>
      <c r="G37" s="643"/>
      <c r="H37" s="643"/>
      <c r="I37" s="643"/>
      <c r="J37" s="643"/>
      <c r="K37" s="643"/>
      <c r="L37" s="643"/>
      <c r="M37" s="643"/>
      <c r="N37" s="643"/>
      <c r="O37" s="643"/>
      <c r="P37" s="643"/>
      <c r="Q37" s="643"/>
      <c r="R37" s="643"/>
      <c r="S37" s="643"/>
      <c r="T37" s="643"/>
      <c r="U37" s="643"/>
      <c r="V37" s="643"/>
      <c r="W37" s="643"/>
    </row>
    <row r="40" spans="2:23" ht="15" thickBot="1">
      <c r="B40" s="176" t="s">
        <v>128</v>
      </c>
      <c r="C40" s="176"/>
    </row>
    <row r="41" spans="2:23" ht="15" thickTop="1"/>
    <row r="57" spans="2:3" ht="15" thickBot="1">
      <c r="B57" s="176" t="s">
        <v>129</v>
      </c>
      <c r="C57" s="176"/>
    </row>
    <row r="58" spans="2:3" ht="15" thickTop="1"/>
    <row r="72" spans="2:8" ht="17" thickBot="1">
      <c r="B72" s="176" t="s">
        <v>130</v>
      </c>
      <c r="C72" s="176"/>
      <c r="D72" s="176"/>
      <c r="E72" s="176"/>
      <c r="F72" s="176"/>
      <c r="G72" s="176"/>
      <c r="H72" s="176"/>
    </row>
    <row r="73" spans="2:8" ht="15" thickTop="1"/>
    <row r="98" spans="2:4" ht="17" thickBot="1">
      <c r="B98" s="176" t="s">
        <v>131</v>
      </c>
      <c r="C98" s="176"/>
      <c r="D98" s="176"/>
    </row>
    <row r="99" spans="2:4" ht="15" thickTop="1"/>
    <row r="111" spans="2:4" ht="15" thickBot="1">
      <c r="B111" s="176" t="s">
        <v>132</v>
      </c>
      <c r="C111" s="176"/>
    </row>
    <row r="112" spans="2:4" ht="15" thickTop="1"/>
  </sheetData>
  <customSheetViews>
    <customSheetView guid="{2D920366-22B2-4182-A65D-0EDBE614FB37}" showGridLines="0">
      <pageMargins left="0" right="0" top="0" bottom="0" header="0" footer="0"/>
    </customSheetView>
    <customSheetView guid="{F468A2FD-7987-4A9D-8BAE-1AACE523607F}" showGridLines="0">
      <selection activeCell="D1" sqref="D1"/>
      <pageMargins left="0" right="0" top="0" bottom="0" header="0" footer="0"/>
    </customSheetView>
    <customSheetView guid="{D97B1299-69D0-4EE0-B673-CCF74742F96B}">
      <selection activeCell="D2" sqref="D2"/>
      <pageMargins left="0" right="0" top="0" bottom="0" header="0" footer="0"/>
    </customSheetView>
    <customSheetView guid="{3F0A4FBA-5323-448F-A023-B3E14C54064C}" showGridLines="0">
      <selection activeCell="D2" sqref="D2"/>
      <pageMargins left="0" right="0" top="0" bottom="0" header="0" footer="0"/>
    </customSheetView>
    <customSheetView guid="{E6EFD927-84B2-4D06-BB59-59D9DF522DA2}" showGridLines="0">
      <selection activeCell="D1" sqref="D1"/>
      <pageMargins left="0" right="0" top="0" bottom="0" header="0" footer="0"/>
    </customSheetView>
    <customSheetView guid="{0E935136-9A80-44B6-88D5-61E64D742049}" showGridLines="0">
      <selection activeCell="D1" sqref="D1"/>
      <pageMargins left="0" right="0" top="0" bottom="0" header="0" footer="0"/>
    </customSheetView>
    <customSheetView guid="{1C16EB38-F785-4168-9938-104594734038}" showGridLines="0">
      <selection activeCell="D1" sqref="D1"/>
      <pageMargins left="0" right="0" top="0" bottom="0" header="0" footer="0"/>
    </customSheetView>
    <customSheetView guid="{EECBF9DF-6D77-4263-85DA-71E40216BADD}" showGridLines="0">
      <selection activeCell="D1" sqref="D1"/>
      <pageMargins left="0" right="0" top="0" bottom="0" header="0" footer="0"/>
    </customSheetView>
    <customSheetView guid="{F03309BC-D3FA-4CF2-833B-D6D9A95FE1FB}" showGridLines="0">
      <selection activeCell="D2" sqref="D2"/>
      <pageMargins left="0" right="0" top="0" bottom="0" header="0" footer="0"/>
    </customSheetView>
  </customSheetViews>
  <mergeCells count="5">
    <mergeCell ref="C6:H6"/>
    <mergeCell ref="C7:H7"/>
    <mergeCell ref="C5:H5"/>
    <mergeCell ref="B11:W11"/>
    <mergeCell ref="B37:W37"/>
  </mergeCells>
  <pageMargins left="0" right="0" top="0" bottom="0" header="0" footer="0"/>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A79EB-973B-484C-ACC9-120C53970D93}">
  <sheetPr codeName="Sheet26">
    <tabColor rgb="FFFF9900"/>
  </sheetPr>
  <dimension ref="A1:AC187"/>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55"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17.81640625" customWidth="1"/>
    <col min="16" max="16" width="9.26953125" style="12" customWidth="1"/>
    <col min="17" max="17" width="18.81640625" style="12" customWidth="1"/>
    <col min="18" max="18" width="17.54296875" style="12" customWidth="1"/>
    <col min="19" max="20" width="20.7265625" style="13" customWidth="1"/>
    <col min="21" max="21" width="22.7265625" style="13" customWidth="1"/>
    <col min="22" max="22" width="20.26953125" style="39" customWidth="1"/>
    <col min="23" max="23" width="7.1796875" style="12" customWidth="1"/>
    <col min="24" max="24" width="26" style="12" customWidth="1"/>
    <col min="26" max="16384" width="7.1796875" style="12"/>
  </cols>
  <sheetData>
    <row r="1" spans="1:29" ht="31.9" customHeight="1">
      <c r="A1" s="80" t="str">
        <f>IF(AND(Path&lt;&gt;Units!$B$131,Path&lt;&gt;Units!$B$132,Path&lt;&gt;Units!$B$133,Path&lt;&gt;Units!$B$134,Master_Switch="On"),"User should not fill in this sheet, but switch to other non-blank GHG worksheets","")</f>
        <v>User should not fill in this sheet, but switch to other non-blank GHG worksheets</v>
      </c>
      <c r="E1" s="256"/>
    </row>
    <row r="2" spans="1:29" ht="20.5" customHeight="1">
      <c r="B2" s="80" t="str">
        <f>IF(AND(GHG_BIOMETHANE_REFORM!D5="Default",Master_Switch="On"),"Default data selected for this step, move to the next step of the pathway","")</f>
        <v/>
      </c>
      <c r="E2" s="256"/>
      <c r="I2" s="729" t="s">
        <v>1093</v>
      </c>
      <c r="J2" s="731"/>
      <c r="K2" s="732"/>
      <c r="L2" s="39"/>
      <c r="M2" s="39"/>
    </row>
    <row r="3" spans="1:29" ht="15" customHeight="1">
      <c r="E3" s="256"/>
      <c r="L3" s="39"/>
      <c r="M3" s="39"/>
    </row>
    <row r="4" spans="1:29" ht="15.65" customHeight="1" thickBot="1">
      <c r="B4" s="3"/>
      <c r="C4" s="3"/>
      <c r="D4" s="3"/>
      <c r="E4" s="455"/>
      <c r="F4" s="3"/>
      <c r="G4" s="3"/>
      <c r="H4" s="1"/>
      <c r="I4" s="1"/>
      <c r="J4" s="1"/>
      <c r="K4" s="1"/>
      <c r="L4" s="1"/>
      <c r="M4" s="1"/>
      <c r="N4" s="37"/>
      <c r="O4" s="1"/>
      <c r="P4" s="3"/>
      <c r="Q4" s="3"/>
      <c r="R4" s="3"/>
      <c r="S4" s="1"/>
      <c r="T4" s="1"/>
      <c r="U4" s="1"/>
      <c r="V4" s="37"/>
      <c r="W4" s="37"/>
      <c r="X4" s="3"/>
    </row>
    <row r="5" spans="1:29"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9" ht="15" thickTop="1">
      <c r="E6" s="457"/>
      <c r="R6"/>
      <c r="S6"/>
      <c r="T6"/>
      <c r="U6"/>
      <c r="V6"/>
    </row>
    <row r="7" spans="1:29">
      <c r="B7" s="145" t="s">
        <v>1097</v>
      </c>
      <c r="C7" s="145"/>
      <c r="D7" s="145"/>
      <c r="E7" s="324"/>
      <c r="F7" s="145"/>
      <c r="G7" s="145"/>
      <c r="H7" s="145"/>
      <c r="I7" s="145"/>
      <c r="J7" s="145"/>
      <c r="K7" s="145"/>
      <c r="L7" s="145"/>
      <c r="M7" s="145"/>
      <c r="N7" s="301"/>
      <c r="R7"/>
      <c r="S7"/>
      <c r="T7"/>
      <c r="U7"/>
      <c r="V7"/>
      <c r="W7" s="19"/>
      <c r="X7" s="19"/>
      <c r="Y7" s="19"/>
      <c r="Z7" s="19"/>
      <c r="AA7" s="19"/>
      <c r="AB7" s="19"/>
      <c r="AC7" s="19"/>
    </row>
    <row r="8" spans="1:29">
      <c r="B8" s="16" t="s">
        <v>1115</v>
      </c>
      <c r="C8" s="184" t="s">
        <v>1192</v>
      </c>
      <c r="D8" s="179" t="s">
        <v>459</v>
      </c>
      <c r="E8" s="306"/>
      <c r="F8" s="21"/>
      <c r="G8" s="21"/>
      <c r="H8" s="20"/>
      <c r="I8" s="20"/>
      <c r="J8" s="302"/>
      <c r="K8" s="302"/>
      <c r="L8" s="302"/>
      <c r="M8" s="302"/>
      <c r="N8" s="242">
        <f t="shared" ref="N8:N17" si="0">IF($D8="MWh/yr (LHV)",$E8,$J8*$E8*(1-$L8)/Conversion_kWh_to_MJ)</f>
        <v>0</v>
      </c>
      <c r="O8" s="12"/>
      <c r="S8" s="107"/>
      <c r="T8" s="107"/>
      <c r="U8" s="107"/>
      <c r="V8" s="12"/>
      <c r="X8" s="24"/>
      <c r="Y8" s="12"/>
    </row>
    <row r="9" spans="1:29">
      <c r="B9" s="186" t="s">
        <v>1021</v>
      </c>
      <c r="C9" s="184" t="s">
        <v>1193</v>
      </c>
      <c r="D9" s="179" t="s">
        <v>479</v>
      </c>
      <c r="E9" s="306"/>
      <c r="F9" s="21"/>
      <c r="G9" s="21"/>
      <c r="H9" s="20"/>
      <c r="I9" s="463"/>
      <c r="J9" s="302"/>
      <c r="K9" s="302"/>
      <c r="L9" s="302"/>
      <c r="M9" s="302"/>
      <c r="N9" s="242">
        <f t="shared" si="0"/>
        <v>0</v>
      </c>
      <c r="O9" s="12"/>
      <c r="S9" s="35" t="str">
        <f t="shared" ref="S9:S16" si="1">IF(B9="", "", IF(D9="MWh/yr (LHV)", "Use column to right", "Enter data here"))</f>
        <v>Use column to right</v>
      </c>
      <c r="T9" s="35" t="str">
        <f>IF(B9="", "", IF(D9="MWh/yr (LHV)", "Enter data here", "Use column to left"))</f>
        <v>Enter data here</v>
      </c>
      <c r="U9" s="35" t="s">
        <v>1100</v>
      </c>
      <c r="V9" s="242" t="str">
        <f t="shared" ref="V9:V17" si="2">IFERROR(IF(D9="tonnes/yr", $S9*$E9/($N$20*3.6), $T9*$E9*3.6/($N$20*3.6)), "Unfilled fields to left")</f>
        <v>Unfilled fields to left</v>
      </c>
      <c r="X9" s="25"/>
      <c r="Y9" s="12"/>
    </row>
    <row r="10" spans="1:29">
      <c r="B10" s="186" t="s">
        <v>1021</v>
      </c>
      <c r="C10" s="184" t="s">
        <v>1194</v>
      </c>
      <c r="D10" s="179" t="s">
        <v>479</v>
      </c>
      <c r="E10" s="306"/>
      <c r="F10" s="21"/>
      <c r="G10" s="21"/>
      <c r="H10" s="20"/>
      <c r="I10" s="463"/>
      <c r="J10" s="302"/>
      <c r="K10" s="302"/>
      <c r="L10" s="302"/>
      <c r="M10" s="302"/>
      <c r="N10" s="242">
        <f t="shared" si="0"/>
        <v>0</v>
      </c>
      <c r="O10" s="12"/>
      <c r="S10" s="35" t="str">
        <f t="shared" si="1"/>
        <v>Use column to right</v>
      </c>
      <c r="T10" s="35" t="e">
        <f>INDEX(Proj_grid_intensity_kWh,MATCH(Operations_year,Proj_grid_year,0))/Conversion_kWh_to_MJ</f>
        <v>#N/A</v>
      </c>
      <c r="U10" s="35" t="s">
        <v>1064</v>
      </c>
      <c r="V10" s="242" t="str">
        <f t="shared" si="2"/>
        <v>Unfilled fields to left</v>
      </c>
      <c r="X10" s="25"/>
      <c r="Y10" s="12"/>
    </row>
    <row r="11" spans="1:29">
      <c r="B11" s="186" t="s">
        <v>1021</v>
      </c>
      <c r="C11" s="184" t="s">
        <v>1195</v>
      </c>
      <c r="D11" s="179" t="s">
        <v>479</v>
      </c>
      <c r="E11" s="306"/>
      <c r="F11" s="21"/>
      <c r="G11" s="21"/>
      <c r="H11" s="20"/>
      <c r="I11" s="463"/>
      <c r="J11" s="302"/>
      <c r="K11" s="302"/>
      <c r="L11" s="302"/>
      <c r="M11" s="302"/>
      <c r="N11" s="242">
        <f t="shared" si="0"/>
        <v>0</v>
      </c>
      <c r="O11" s="12"/>
      <c r="S11" s="35" t="str">
        <f t="shared" si="1"/>
        <v>Use column to right</v>
      </c>
      <c r="T11" s="35" t="e">
        <f>INDEX(Proj_grid_intensity_kWh,MATCH(Operations_year,Proj_grid_year,0))/Conversion_kWh_to_MJ</f>
        <v>#N/A</v>
      </c>
      <c r="U11" s="35" t="s">
        <v>1064</v>
      </c>
      <c r="V11" s="242" t="str">
        <f t="shared" si="2"/>
        <v>Unfilled fields to left</v>
      </c>
      <c r="X11" s="25"/>
      <c r="Y11" s="12"/>
    </row>
    <row r="12" spans="1:29">
      <c r="B12" s="186" t="s">
        <v>1021</v>
      </c>
      <c r="C12" s="184" t="s">
        <v>1196</v>
      </c>
      <c r="D12" s="179" t="s">
        <v>479</v>
      </c>
      <c r="E12" s="306"/>
      <c r="F12" s="21"/>
      <c r="G12" s="21"/>
      <c r="H12" s="20"/>
      <c r="I12" s="463"/>
      <c r="J12" s="302"/>
      <c r="K12" s="302"/>
      <c r="L12" s="302"/>
      <c r="M12" s="302"/>
      <c r="N12" s="242">
        <f t="shared" si="0"/>
        <v>0</v>
      </c>
      <c r="O12" s="12"/>
      <c r="S12" s="35" t="str">
        <f t="shared" si="1"/>
        <v>Use column to right</v>
      </c>
      <c r="T12" s="35" t="e">
        <f>INDEX(Proj_grid_intensity_kWh,MATCH(Operations_year,Proj_grid_year,0))/Conversion_kWh_to_MJ</f>
        <v>#N/A</v>
      </c>
      <c r="U12" s="35" t="s">
        <v>1064</v>
      </c>
      <c r="V12" s="242" t="str">
        <f t="shared" si="2"/>
        <v>Unfilled fields to left</v>
      </c>
      <c r="W12" s="107"/>
      <c r="X12" s="25"/>
      <c r="Y12" s="12"/>
    </row>
    <row r="13" spans="1:29">
      <c r="B13" s="186" t="s">
        <v>1042</v>
      </c>
      <c r="C13" s="184" t="s">
        <v>1043</v>
      </c>
      <c r="D13" s="179" t="s">
        <v>459</v>
      </c>
      <c r="E13" s="306"/>
      <c r="F13" s="21"/>
      <c r="G13" s="21"/>
      <c r="H13" s="20"/>
      <c r="I13" s="463"/>
      <c r="J13" s="302"/>
      <c r="K13" s="302"/>
      <c r="L13" s="302"/>
      <c r="M13" s="302"/>
      <c r="N13" s="242">
        <f t="shared" si="0"/>
        <v>0</v>
      </c>
      <c r="O13" s="12"/>
      <c r="S13" s="35" t="str">
        <f t="shared" si="1"/>
        <v>Enter data here</v>
      </c>
      <c r="T13" s="35" t="str">
        <f>IF(B13="", "", IF(D13="MWh/yr (LHV)", "Enter data here", "Use column to left"))</f>
        <v>Use column to left</v>
      </c>
      <c r="U13" s="35" t="s">
        <v>1100</v>
      </c>
      <c r="V13" s="242" t="str">
        <f t="shared" si="2"/>
        <v>Unfilled fields to left</v>
      </c>
      <c r="X13" s="25"/>
      <c r="Y13" s="12"/>
    </row>
    <row r="14" spans="1:29">
      <c r="B14" s="186" t="s">
        <v>1042</v>
      </c>
      <c r="C14" s="184" t="s">
        <v>1010</v>
      </c>
      <c r="D14" s="179" t="s">
        <v>459</v>
      </c>
      <c r="E14" s="306"/>
      <c r="F14" s="21"/>
      <c r="G14" s="21"/>
      <c r="H14" s="20"/>
      <c r="I14" s="463"/>
      <c r="J14" s="302"/>
      <c r="K14" s="302"/>
      <c r="L14" s="302"/>
      <c r="M14" s="302"/>
      <c r="N14" s="242">
        <f t="shared" si="0"/>
        <v>0</v>
      </c>
      <c r="O14" s="12"/>
      <c r="S14" s="35" t="str">
        <f t="shared" si="1"/>
        <v>Enter data here</v>
      </c>
      <c r="T14" s="35" t="str">
        <f>IF(B14="", "", IF(D14="MWh/yr (LHV)", "Enter data here", "Use column to left"))</f>
        <v>Use column to left</v>
      </c>
      <c r="U14" s="35" t="s">
        <v>1100</v>
      </c>
      <c r="V14" s="242" t="str">
        <f t="shared" si="2"/>
        <v>Unfilled fields to left</v>
      </c>
      <c r="X14" s="25"/>
      <c r="Y14" s="12"/>
    </row>
    <row r="15" spans="1:29">
      <c r="B15" s="186" t="s">
        <v>1051</v>
      </c>
      <c r="C15" s="184" t="s">
        <v>1101</v>
      </c>
      <c r="D15" s="179" t="s">
        <v>459</v>
      </c>
      <c r="E15" s="306"/>
      <c r="F15" s="21"/>
      <c r="G15" s="21"/>
      <c r="H15" s="20"/>
      <c r="I15" s="463"/>
      <c r="J15" s="302"/>
      <c r="K15" s="302"/>
      <c r="L15" s="302"/>
      <c r="M15" s="302"/>
      <c r="N15" s="242">
        <f t="shared" si="0"/>
        <v>0</v>
      </c>
      <c r="O15" s="12"/>
      <c r="S15" s="35" t="str">
        <f t="shared" si="1"/>
        <v>Enter data here</v>
      </c>
      <c r="T15" s="35" t="str">
        <f>IF(B15="", "", IF(D15="MWh/yr (LHV)", "Enter data here", "Use column to left"))</f>
        <v>Use column to left</v>
      </c>
      <c r="U15" s="35" t="s">
        <v>1100</v>
      </c>
      <c r="V15" s="242" t="str">
        <f t="shared" si="2"/>
        <v>Unfilled fields to left</v>
      </c>
      <c r="X15" s="25"/>
      <c r="Y15" s="12"/>
    </row>
    <row r="16" spans="1:29">
      <c r="B16" s="186" t="s">
        <v>1102</v>
      </c>
      <c r="C16" s="184" t="s">
        <v>1055</v>
      </c>
      <c r="D16" s="179" t="s">
        <v>459</v>
      </c>
      <c r="E16" s="306"/>
      <c r="F16" s="21"/>
      <c r="G16" s="21"/>
      <c r="H16" s="20"/>
      <c r="I16" s="463"/>
      <c r="J16" s="302"/>
      <c r="K16" s="302"/>
      <c r="L16" s="302"/>
      <c r="M16" s="302"/>
      <c r="N16" s="242">
        <f t="shared" si="0"/>
        <v>0</v>
      </c>
      <c r="O16" s="12"/>
      <c r="S16" s="35" t="str">
        <f t="shared" si="1"/>
        <v>Enter data here</v>
      </c>
      <c r="T16" s="35" t="str">
        <f>IF(B16="", "", IF(D16="MWh/yr (LHV)", "Enter data here", "Use column to left"))</f>
        <v>Use column to left</v>
      </c>
      <c r="U16" s="35" t="s">
        <v>1100</v>
      </c>
      <c r="V16" s="242" t="str">
        <f t="shared" si="2"/>
        <v>Unfilled fields to left</v>
      </c>
      <c r="X16" s="25"/>
      <c r="Y16" s="12"/>
    </row>
    <row r="17" spans="2:29">
      <c r="B17" s="16"/>
      <c r="C17" s="15"/>
      <c r="D17" s="179"/>
      <c r="E17" s="306"/>
      <c r="F17" s="21"/>
      <c r="G17" s="21"/>
      <c r="H17" s="20"/>
      <c r="I17" s="463"/>
      <c r="J17" s="302"/>
      <c r="K17" s="302"/>
      <c r="L17" s="302"/>
      <c r="M17" s="302"/>
      <c r="N17" s="242">
        <f t="shared" si="0"/>
        <v>0</v>
      </c>
      <c r="O17" s="12"/>
      <c r="S17" s="302"/>
      <c r="T17" s="300"/>
      <c r="U17" s="302"/>
      <c r="V17" s="242" t="str">
        <f t="shared" si="2"/>
        <v>Unfilled fields to left</v>
      </c>
      <c r="X17" s="25"/>
      <c r="Y17" s="12"/>
    </row>
    <row r="18" spans="2:29">
      <c r="C18" s="17"/>
      <c r="D18" s="17"/>
      <c r="E18" s="506"/>
      <c r="F18" s="26"/>
      <c r="G18" s="26"/>
      <c r="H18" s="22"/>
      <c r="I18" s="22"/>
      <c r="J18" s="41"/>
      <c r="K18" s="41"/>
      <c r="L18" s="41"/>
      <c r="M18" s="41"/>
      <c r="N18" s="41"/>
      <c r="O18" s="12"/>
      <c r="S18" s="41"/>
      <c r="T18" s="41"/>
      <c r="U18" s="41"/>
      <c r="V18" s="41"/>
      <c r="X18" s="27"/>
      <c r="Y18" s="12"/>
    </row>
    <row r="19" spans="2:29">
      <c r="B19" s="145" t="s">
        <v>1103</v>
      </c>
      <c r="C19" s="145"/>
      <c r="D19" s="145"/>
      <c r="E19" s="493"/>
      <c r="F19" s="464"/>
      <c r="G19" s="464"/>
      <c r="H19" s="464"/>
      <c r="I19" s="464"/>
      <c r="J19" s="493"/>
      <c r="K19" s="493"/>
      <c r="L19" s="493"/>
      <c r="M19" s="493"/>
      <c r="N19" s="301"/>
      <c r="R19"/>
      <c r="S19" s="40"/>
      <c r="T19" s="40"/>
      <c r="U19" s="40"/>
      <c r="V19" s="40"/>
      <c r="W19" s="19"/>
      <c r="X19" s="19"/>
      <c r="Y19" s="19"/>
      <c r="Z19" s="19"/>
      <c r="AA19" s="19"/>
      <c r="AB19" s="19"/>
      <c r="AC19" s="19"/>
    </row>
    <row r="20" spans="2:29">
      <c r="B20" s="16" t="s">
        <v>1104</v>
      </c>
      <c r="C20" s="184" t="s">
        <v>1197</v>
      </c>
      <c r="D20" s="179" t="s">
        <v>459</v>
      </c>
      <c r="E20" s="306"/>
      <c r="F20" s="21"/>
      <c r="G20" s="21"/>
      <c r="H20" s="21"/>
      <c r="I20" s="21"/>
      <c r="J20" s="302"/>
      <c r="K20" s="306"/>
      <c r="L20" s="306"/>
      <c r="M20" s="306"/>
      <c r="N20" s="242">
        <f t="shared" ref="N20:N34" si="3">IF($D20="MWh/yr (LHV)",$E20,$J20*$E20*(1-$L20)/Conversion_kWh_to_MJ)</f>
        <v>0</v>
      </c>
      <c r="O20" s="246" t="str">
        <f>IFERROR(N20/N8,"")</f>
        <v/>
      </c>
      <c r="Q20" s="515">
        <f>IF($D20="MWh/yr (LHV)",$E20,$E20*MAX(0, $J20*(1-$L20)-2.441*$L20)/Conversion_kWh_to_MJ)</f>
        <v>0</v>
      </c>
      <c r="R20" s="245" t="str">
        <f>IFERROR(Q20/(SUM($Q$20:$Q$22)),"")</f>
        <v/>
      </c>
      <c r="S20" s="42"/>
      <c r="T20" s="42"/>
      <c r="U20" s="42"/>
      <c r="V20" s="42"/>
      <c r="X20" s="21"/>
      <c r="Y20" s="12"/>
    </row>
    <row r="21" spans="2:29" s="14" customFormat="1">
      <c r="B21" s="186" t="s">
        <v>1008</v>
      </c>
      <c r="C21" s="184" t="s">
        <v>1198</v>
      </c>
      <c r="D21" s="179" t="s">
        <v>459</v>
      </c>
      <c r="E21" s="306"/>
      <c r="F21" s="21"/>
      <c r="G21" s="21"/>
      <c r="H21" s="20"/>
      <c r="I21" s="20"/>
      <c r="J21" s="302"/>
      <c r="K21" s="302"/>
      <c r="L21" s="302"/>
      <c r="M21" s="302"/>
      <c r="N21" s="242">
        <f t="shared" si="3"/>
        <v>0</v>
      </c>
      <c r="O21" s="12"/>
      <c r="P21" s="12"/>
      <c r="Q21" s="515">
        <f>IF($D21="MWh/yr (LHV)",$E21,$E21*MAX(0, $J21*(1-$L21)-2.441*$L21)/Conversion_kWh_to_MJ)</f>
        <v>0</v>
      </c>
      <c r="R21" s="245" t="str">
        <f t="shared" ref="R21:R22" si="4">IFERROR(Q21/(SUM($Q$20:$Q$22)),"")</f>
        <v/>
      </c>
      <c r="S21" s="42"/>
      <c r="T21" s="42"/>
      <c r="U21" s="107"/>
      <c r="V21" s="12"/>
      <c r="W21" s="23"/>
      <c r="X21" s="21"/>
      <c r="Y21" s="23"/>
      <c r="Z21" s="42"/>
      <c r="AB21" s="12"/>
    </row>
    <row r="22" spans="2:29" s="14" customFormat="1">
      <c r="B22" s="186" t="s">
        <v>1008</v>
      </c>
      <c r="C22" s="184" t="s">
        <v>1107</v>
      </c>
      <c r="D22" s="179" t="s">
        <v>459</v>
      </c>
      <c r="E22" s="306"/>
      <c r="F22" s="21"/>
      <c r="G22" s="21"/>
      <c r="H22" s="20"/>
      <c r="I22" s="20"/>
      <c r="J22" s="302"/>
      <c r="K22" s="302"/>
      <c r="L22" s="302"/>
      <c r="M22" s="302"/>
      <c r="N22" s="242">
        <f t="shared" si="3"/>
        <v>0</v>
      </c>
      <c r="O22" s="12"/>
      <c r="P22" s="12"/>
      <c r="Q22" s="515">
        <f>IF($D22="MWh/yr (LHV)",$E22,$E22*MAX(0, $J22*(1-$L22)-2.441*$L22)/Conversion_kWh_to_MJ)</f>
        <v>0</v>
      </c>
      <c r="R22" s="245" t="str">
        <f t="shared" si="4"/>
        <v/>
      </c>
      <c r="S22" s="42"/>
      <c r="T22" s="42"/>
      <c r="U22" s="107"/>
      <c r="V22" s="12"/>
      <c r="W22" s="23"/>
      <c r="X22" s="21"/>
      <c r="Y22" s="23"/>
      <c r="Z22" s="42"/>
      <c r="AB22" s="12"/>
    </row>
    <row r="23" spans="2:29" s="14" customFormat="1">
      <c r="B23" s="186" t="s">
        <v>1013</v>
      </c>
      <c r="C23" s="184" t="s">
        <v>1108</v>
      </c>
      <c r="D23" s="179" t="s">
        <v>459</v>
      </c>
      <c r="E23" s="306"/>
      <c r="F23" s="21"/>
      <c r="G23" s="21"/>
      <c r="H23" s="20"/>
      <c r="I23" s="20"/>
      <c r="J23" s="302"/>
      <c r="K23" s="302"/>
      <c r="L23" s="302"/>
      <c r="M23" s="302"/>
      <c r="N23" s="242">
        <f t="shared" si="3"/>
        <v>0</v>
      </c>
      <c r="O23" s="12"/>
      <c r="P23" s="12"/>
      <c r="Q23" s="12"/>
      <c r="R23" s="12"/>
      <c r="S23" s="107"/>
      <c r="T23" s="107"/>
      <c r="U23" s="107"/>
      <c r="V23" s="12"/>
      <c r="W23" s="23"/>
      <c r="X23" s="21"/>
      <c r="Y23" s="23"/>
      <c r="Z23" s="42"/>
      <c r="AB23" s="12"/>
    </row>
    <row r="24" spans="2:29" s="14" customFormat="1">
      <c r="B24" s="186" t="s">
        <v>1013</v>
      </c>
      <c r="C24" s="184" t="s">
        <v>1015</v>
      </c>
      <c r="D24" s="179" t="s">
        <v>459</v>
      </c>
      <c r="E24" s="306"/>
      <c r="F24" s="21"/>
      <c r="G24" s="21"/>
      <c r="H24" s="20"/>
      <c r="I24" s="20"/>
      <c r="J24" s="302"/>
      <c r="K24" s="302"/>
      <c r="L24" s="302"/>
      <c r="M24" s="302"/>
      <c r="N24" s="242">
        <f t="shared" si="3"/>
        <v>0</v>
      </c>
      <c r="O24" s="12"/>
      <c r="P24" s="12"/>
      <c r="Q24" s="12"/>
      <c r="R24" s="12"/>
      <c r="S24" s="107"/>
      <c r="T24" s="107"/>
      <c r="U24" s="107"/>
      <c r="V24" s="12"/>
      <c r="W24" s="23"/>
      <c r="X24" s="21"/>
      <c r="Y24" s="23"/>
      <c r="Z24" s="42"/>
      <c r="AB24" s="12"/>
    </row>
    <row r="25" spans="2:29" s="14" customFormat="1">
      <c r="B25" s="186" t="s">
        <v>1016</v>
      </c>
      <c r="C25" s="184" t="s">
        <v>1017</v>
      </c>
      <c r="D25" s="179" t="s">
        <v>459</v>
      </c>
      <c r="E25" s="306"/>
      <c r="F25" s="21"/>
      <c r="G25" s="21"/>
      <c r="H25" s="20"/>
      <c r="I25" s="463"/>
      <c r="J25" s="302"/>
      <c r="K25" s="302"/>
      <c r="L25" s="302"/>
      <c r="M25" s="302"/>
      <c r="N25" s="242">
        <f t="shared" si="3"/>
        <v>0</v>
      </c>
      <c r="O25" s="12"/>
      <c r="P25" s="12"/>
      <c r="Q25" s="12"/>
      <c r="R25" s="12"/>
      <c r="S25" s="107"/>
      <c r="T25" s="107"/>
      <c r="U25" s="107"/>
      <c r="V25" s="12"/>
      <c r="X25" s="21"/>
    </row>
    <row r="26" spans="2:29" s="14" customFormat="1">
      <c r="B26" s="186" t="s">
        <v>1016</v>
      </c>
      <c r="C26" s="184" t="s">
        <v>1018</v>
      </c>
      <c r="D26" s="179" t="s">
        <v>459</v>
      </c>
      <c r="E26" s="306"/>
      <c r="F26" s="21"/>
      <c r="G26" s="21"/>
      <c r="H26" s="20"/>
      <c r="I26" s="463"/>
      <c r="J26" s="302"/>
      <c r="K26" s="302"/>
      <c r="L26" s="302"/>
      <c r="M26" s="302"/>
      <c r="N26" s="242">
        <f t="shared" si="3"/>
        <v>0</v>
      </c>
      <c r="O26" s="12"/>
      <c r="P26" s="12"/>
      <c r="Q26" s="12"/>
      <c r="R26" s="12"/>
      <c r="S26" s="107"/>
      <c r="T26" s="107"/>
      <c r="U26" s="107"/>
      <c r="V26" s="12"/>
      <c r="X26" s="21"/>
    </row>
    <row r="27" spans="2:29" s="14" customFormat="1">
      <c r="B27" s="186" t="s">
        <v>1057</v>
      </c>
      <c r="C27" s="184" t="s">
        <v>1199</v>
      </c>
      <c r="D27" s="179" t="s">
        <v>459</v>
      </c>
      <c r="E27" s="306"/>
      <c r="F27" s="465"/>
      <c r="G27" s="21"/>
      <c r="H27" s="20"/>
      <c r="I27" s="463"/>
      <c r="J27" s="302"/>
      <c r="K27" s="302"/>
      <c r="L27" s="302"/>
      <c r="M27" s="302"/>
      <c r="N27" s="242">
        <f t="shared" si="3"/>
        <v>0</v>
      </c>
      <c r="O27" s="12"/>
      <c r="P27" s="12"/>
      <c r="Q27" s="12"/>
      <c r="R27" s="12"/>
      <c r="S27" s="528">
        <v>0</v>
      </c>
      <c r="T27" s="477"/>
      <c r="U27" s="530" t="s">
        <v>1200</v>
      </c>
      <c r="V27" s="242" t="str">
        <f t="shared" ref="V27:V34" si="5">IFERROR(IF(D27="tonnes/yr", $S27*$E27/($N$20*3.6), $T27*$E27*3.6/($N$20*3.6)), "Unfilled fields to left")</f>
        <v>Unfilled fields to left</v>
      </c>
      <c r="X27" s="21"/>
    </row>
    <row r="28" spans="2:29" s="14" customFormat="1">
      <c r="B28" s="186" t="s">
        <v>1057</v>
      </c>
      <c r="C28" s="184" t="s">
        <v>1201</v>
      </c>
      <c r="D28" s="179" t="s">
        <v>459</v>
      </c>
      <c r="E28" s="306"/>
      <c r="F28" s="465"/>
      <c r="G28" s="21"/>
      <c r="H28" s="20"/>
      <c r="I28" s="463"/>
      <c r="J28" s="302"/>
      <c r="K28" s="302"/>
      <c r="L28" s="302"/>
      <c r="M28" s="302"/>
      <c r="N28" s="242">
        <f t="shared" si="3"/>
        <v>0</v>
      </c>
      <c r="O28" s="12"/>
      <c r="P28" s="12"/>
      <c r="Q28" s="12"/>
      <c r="R28" s="12"/>
      <c r="S28" s="528">
        <v>1000</v>
      </c>
      <c r="T28" s="477"/>
      <c r="U28" s="530" t="s">
        <v>1118</v>
      </c>
      <c r="V28" s="242" t="str">
        <f t="shared" si="5"/>
        <v>Unfilled fields to left</v>
      </c>
      <c r="X28" s="21"/>
    </row>
    <row r="29" spans="2:29" s="14" customFormat="1">
      <c r="B29" s="186" t="s">
        <v>1070</v>
      </c>
      <c r="C29" s="184" t="s">
        <v>1202</v>
      </c>
      <c r="D29" s="179" t="s">
        <v>459</v>
      </c>
      <c r="E29" s="35">
        <f>E27*$E$39</f>
        <v>0</v>
      </c>
      <c r="F29" s="465"/>
      <c r="G29" s="21"/>
      <c r="H29" s="20"/>
      <c r="I29" s="463"/>
      <c r="J29" s="302"/>
      <c r="K29" s="302"/>
      <c r="L29" s="302"/>
      <c r="M29" s="302"/>
      <c r="N29" s="242">
        <f t="shared" si="3"/>
        <v>0</v>
      </c>
      <c r="O29" s="12"/>
      <c r="P29" s="12"/>
      <c r="Q29" s="12"/>
      <c r="R29" s="12"/>
      <c r="S29" s="528">
        <v>-1000</v>
      </c>
      <c r="T29" s="477"/>
      <c r="U29" s="530" t="s">
        <v>1203</v>
      </c>
      <c r="V29" s="242" t="str">
        <f t="shared" si="5"/>
        <v>Unfilled fields to left</v>
      </c>
      <c r="X29" s="21"/>
    </row>
    <row r="30" spans="2:29" s="14" customFormat="1">
      <c r="B30" s="186" t="s">
        <v>1070</v>
      </c>
      <c r="C30" s="184" t="s">
        <v>1111</v>
      </c>
      <c r="D30" s="179" t="s">
        <v>459</v>
      </c>
      <c r="E30" s="35">
        <f>E28*$E$39</f>
        <v>0</v>
      </c>
      <c r="F30" s="465"/>
      <c r="G30" s="21"/>
      <c r="H30" s="20"/>
      <c r="I30" s="463"/>
      <c r="J30" s="302"/>
      <c r="K30" s="302"/>
      <c r="L30" s="302"/>
      <c r="M30" s="302"/>
      <c r="N30" s="242">
        <f t="shared" si="3"/>
        <v>0</v>
      </c>
      <c r="O30" s="12"/>
      <c r="P30" s="12"/>
      <c r="Q30" s="12"/>
      <c r="R30" s="12"/>
      <c r="S30" s="528">
        <v>-1000</v>
      </c>
      <c r="T30" s="477"/>
      <c r="U30" s="530" t="s">
        <v>1204</v>
      </c>
      <c r="V30" s="242" t="str">
        <f t="shared" si="5"/>
        <v>Unfilled fields to left</v>
      </c>
      <c r="X30" s="21"/>
    </row>
    <row r="31" spans="2:29" s="14" customFormat="1">
      <c r="B31" s="186" t="s">
        <v>1113</v>
      </c>
      <c r="C31" s="184" t="s">
        <v>1073</v>
      </c>
      <c r="D31" s="179" t="s">
        <v>459</v>
      </c>
      <c r="E31" s="35"/>
      <c r="F31" s="465"/>
      <c r="G31" s="21"/>
      <c r="H31" s="20"/>
      <c r="I31" s="463"/>
      <c r="J31" s="302"/>
      <c r="K31" s="302"/>
      <c r="L31" s="302"/>
      <c r="M31" s="302"/>
      <c r="N31" s="242">
        <f t="shared" si="3"/>
        <v>0</v>
      </c>
      <c r="O31" s="12"/>
      <c r="P31" s="12"/>
      <c r="Q31" s="12"/>
      <c r="R31" s="12"/>
      <c r="S31" s="528">
        <f>28*1000</f>
        <v>28000</v>
      </c>
      <c r="T31" s="477"/>
      <c r="U31" s="530" t="s">
        <v>1059</v>
      </c>
      <c r="V31" s="242" t="str">
        <f t="shared" si="5"/>
        <v>Unfilled fields to left</v>
      </c>
      <c r="X31" s="21"/>
    </row>
    <row r="32" spans="2:29" s="14" customFormat="1">
      <c r="B32" s="186" t="s">
        <v>1113</v>
      </c>
      <c r="C32" s="184" t="s">
        <v>1075</v>
      </c>
      <c r="D32" s="179" t="s">
        <v>459</v>
      </c>
      <c r="E32" s="35"/>
      <c r="F32" s="21"/>
      <c r="G32" s="21"/>
      <c r="H32" s="20"/>
      <c r="I32" s="463"/>
      <c r="J32" s="302"/>
      <c r="K32" s="302"/>
      <c r="L32" s="302"/>
      <c r="M32" s="302"/>
      <c r="N32" s="242">
        <f t="shared" si="3"/>
        <v>0</v>
      </c>
      <c r="O32" s="12"/>
      <c r="P32" s="12"/>
      <c r="Q32" s="12"/>
      <c r="R32" s="12"/>
      <c r="S32" s="528">
        <v>265000</v>
      </c>
      <c r="T32" s="477"/>
      <c r="U32" s="530" t="s">
        <v>1059</v>
      </c>
      <c r="V32" s="242" t="str">
        <f t="shared" si="5"/>
        <v>Unfilled fields to left</v>
      </c>
      <c r="X32" s="21"/>
    </row>
    <row r="33" spans="2:25" s="14" customFormat="1">
      <c r="B33" s="16"/>
      <c r="C33" s="15"/>
      <c r="D33" s="179"/>
      <c r="E33" s="35"/>
      <c r="F33" s="21"/>
      <c r="G33" s="21"/>
      <c r="H33" s="20"/>
      <c r="I33" s="463"/>
      <c r="J33" s="302"/>
      <c r="K33" s="302"/>
      <c r="L33" s="302"/>
      <c r="M33" s="302"/>
      <c r="N33" s="242">
        <f t="shared" si="3"/>
        <v>0</v>
      </c>
      <c r="O33" s="12"/>
      <c r="P33" s="12"/>
      <c r="Q33" s="12"/>
      <c r="R33" s="12"/>
      <c r="S33" s="528"/>
      <c r="T33" s="477"/>
      <c r="U33" s="531"/>
      <c r="V33" s="242" t="str">
        <f t="shared" si="5"/>
        <v>Unfilled fields to left</v>
      </c>
      <c r="X33" s="21"/>
    </row>
    <row r="34" spans="2:25" s="14" customFormat="1">
      <c r="B34" s="16"/>
      <c r="C34" s="15"/>
      <c r="D34" s="179"/>
      <c r="E34" s="35"/>
      <c r="F34" s="21"/>
      <c r="G34" s="21"/>
      <c r="H34" s="20"/>
      <c r="I34" s="463"/>
      <c r="J34" s="302"/>
      <c r="K34" s="302"/>
      <c r="L34" s="302"/>
      <c r="M34" s="302"/>
      <c r="N34" s="242">
        <f t="shared" si="3"/>
        <v>0</v>
      </c>
      <c r="O34" s="12"/>
      <c r="P34" s="12"/>
      <c r="Q34" s="12"/>
      <c r="R34" s="12"/>
      <c r="S34" s="528"/>
      <c r="T34" s="477"/>
      <c r="U34" s="531"/>
      <c r="V34" s="242" t="str">
        <f t="shared" si="5"/>
        <v>Unfilled fields to left</v>
      </c>
      <c r="X34" s="21"/>
    </row>
    <row r="35" spans="2:25">
      <c r="C35" s="17"/>
      <c r="D35" s="17"/>
      <c r="E35" s="140"/>
      <c r="F35" s="17"/>
      <c r="H35" s="18"/>
      <c r="I35" s="18"/>
      <c r="J35" s="40"/>
      <c r="K35" s="40"/>
      <c r="L35" s="40"/>
      <c r="M35" s="40"/>
      <c r="N35" s="40"/>
      <c r="O35" s="12"/>
      <c r="S35" s="40"/>
      <c r="T35" s="40"/>
      <c r="U35" s="40"/>
      <c r="V35" s="40"/>
      <c r="Y35" s="12"/>
    </row>
    <row r="36" spans="2:25">
      <c r="D36" s="17"/>
      <c r="E36" s="140"/>
      <c r="J36" s="39"/>
      <c r="K36" s="39"/>
      <c r="L36" s="107"/>
      <c r="M36" s="107"/>
      <c r="N36" s="107"/>
      <c r="O36" s="107"/>
      <c r="S36" s="39"/>
      <c r="T36" s="39"/>
      <c r="U36" s="38" t="s">
        <v>1114</v>
      </c>
      <c r="V36" s="153">
        <f>SUM(V7:V35)</f>
        <v>0</v>
      </c>
      <c r="W36" s="91"/>
      <c r="Y36" s="12"/>
    </row>
    <row r="37" spans="2:25">
      <c r="B37" s="145" t="s">
        <v>132</v>
      </c>
      <c r="C37" s="159"/>
      <c r="D37" s="159"/>
      <c r="E37" s="499"/>
      <c r="G37" s="55"/>
      <c r="I37" s="12"/>
      <c r="J37" s="107"/>
      <c r="K37" s="107"/>
      <c r="L37" s="107"/>
      <c r="M37" s="107"/>
      <c r="N37" s="107"/>
      <c r="O37" s="107"/>
      <c r="S37" s="107"/>
      <c r="T37" s="107"/>
      <c r="U37" s="107"/>
      <c r="Y37" s="12"/>
    </row>
    <row r="38" spans="2:25">
      <c r="B38" s="16" t="s">
        <v>1086</v>
      </c>
      <c r="C38" s="15" t="s">
        <v>1087</v>
      </c>
      <c r="D38" s="15" t="s">
        <v>1088</v>
      </c>
      <c r="E38" s="501"/>
      <c r="G38" s="19"/>
      <c r="H38" s="12"/>
      <c r="I38" s="12"/>
      <c r="J38" s="107"/>
      <c r="K38" s="107"/>
      <c r="L38" s="107"/>
      <c r="M38" s="107"/>
      <c r="N38" s="107"/>
      <c r="O38" s="107"/>
      <c r="S38" s="107"/>
      <c r="T38" s="107"/>
      <c r="U38" s="107"/>
      <c r="V38" s="12"/>
      <c r="X38" s="25"/>
      <c r="Y38" s="12"/>
    </row>
    <row r="39" spans="2:25">
      <c r="B39" s="16" t="s">
        <v>1091</v>
      </c>
      <c r="C39" s="15" t="s">
        <v>1136</v>
      </c>
      <c r="D39" s="15" t="s">
        <v>785</v>
      </c>
      <c r="E39" s="511"/>
      <c r="H39" s="12"/>
      <c r="I39" s="12"/>
      <c r="J39" s="107"/>
      <c r="K39" s="107"/>
      <c r="L39" s="107"/>
      <c r="M39" s="107"/>
      <c r="N39" s="107"/>
      <c r="O39" s="107"/>
      <c r="S39" s="107"/>
      <c r="T39" s="107"/>
      <c r="U39" s="107"/>
      <c r="V39" s="12"/>
      <c r="X39" s="25"/>
      <c r="Y39" s="12"/>
    </row>
    <row r="40" spans="2:25">
      <c r="B40" s="186" t="s">
        <v>1205</v>
      </c>
      <c r="C40" s="184" t="s">
        <v>1206</v>
      </c>
      <c r="D40" s="184" t="s">
        <v>1207</v>
      </c>
      <c r="E40" s="511"/>
      <c r="J40" s="39"/>
      <c r="K40" s="39"/>
      <c r="L40" s="107"/>
      <c r="M40" s="107"/>
      <c r="N40" s="107"/>
      <c r="O40" s="107"/>
      <c r="S40" s="39"/>
      <c r="T40" s="39"/>
      <c r="U40" s="39"/>
      <c r="X40" s="25"/>
    </row>
    <row r="41" spans="2:25">
      <c r="B41" s="186"/>
      <c r="C41" s="184"/>
      <c r="D41" s="184"/>
      <c r="E41" s="461"/>
      <c r="J41" s="39"/>
      <c r="K41" s="39"/>
      <c r="L41" s="107"/>
      <c r="M41" s="107"/>
      <c r="N41" s="107"/>
      <c r="O41" s="107"/>
      <c r="S41" s="39"/>
      <c r="T41" s="39"/>
      <c r="U41" s="39"/>
      <c r="X41" s="25"/>
    </row>
    <row r="42" spans="2:25">
      <c r="E42" s="107"/>
      <c r="J42" s="39"/>
      <c r="K42" s="39"/>
      <c r="L42" s="107"/>
      <c r="M42" s="107"/>
      <c r="N42" s="107"/>
      <c r="O42" s="107"/>
      <c r="S42" s="39"/>
      <c r="T42" s="39"/>
      <c r="U42" s="39"/>
    </row>
    <row r="43" spans="2:25">
      <c r="E43" s="107"/>
      <c r="J43" s="39"/>
      <c r="K43" s="39"/>
      <c r="L43" s="107"/>
      <c r="M43" s="107"/>
      <c r="N43" s="107"/>
      <c r="O43" s="107"/>
      <c r="S43" s="39"/>
      <c r="T43" s="39"/>
      <c r="U43" s="39"/>
    </row>
    <row r="44" spans="2:25">
      <c r="E44" s="107"/>
      <c r="J44" s="39"/>
      <c r="K44" s="39"/>
      <c r="L44" s="107"/>
      <c r="M44" s="107"/>
      <c r="N44" s="107"/>
      <c r="O44" s="107"/>
      <c r="S44" s="39"/>
      <c r="T44" s="39"/>
      <c r="U44" s="39"/>
    </row>
    <row r="45" spans="2:25">
      <c r="E45" s="107"/>
      <c r="J45" s="39"/>
      <c r="K45" s="39"/>
      <c r="L45" s="107"/>
      <c r="M45" s="107"/>
      <c r="N45" s="107"/>
      <c r="O45" s="107"/>
      <c r="S45" s="39"/>
      <c r="T45" s="39"/>
      <c r="U45" s="39"/>
    </row>
    <row r="46" spans="2:25">
      <c r="E46" s="107"/>
      <c r="J46" s="39"/>
      <c r="K46" s="39"/>
      <c r="L46" s="39"/>
      <c r="M46" s="39"/>
      <c r="O46" s="12"/>
      <c r="S46" s="39"/>
      <c r="T46" s="39"/>
      <c r="U46" s="39"/>
    </row>
    <row r="47" spans="2:25">
      <c r="E47" s="107"/>
      <c r="J47" s="39"/>
      <c r="K47" s="39"/>
      <c r="L47" s="39"/>
      <c r="M47" s="39"/>
      <c r="O47" s="12"/>
      <c r="S47" s="39"/>
      <c r="T47" s="39"/>
      <c r="U47" s="39"/>
    </row>
    <row r="48" spans="2:25">
      <c r="E48" s="107"/>
      <c r="J48" s="39"/>
      <c r="K48" s="39"/>
      <c r="L48" s="107"/>
      <c r="M48" s="107"/>
      <c r="N48" s="107"/>
      <c r="O48" s="12"/>
      <c r="S48" s="39"/>
      <c r="T48" s="39"/>
      <c r="U48" s="39"/>
    </row>
    <row r="49" spans="5:21">
      <c r="E49" s="107"/>
      <c r="J49" s="39"/>
      <c r="K49" s="39"/>
      <c r="L49" s="107"/>
      <c r="M49" s="107"/>
      <c r="N49" s="107"/>
      <c r="O49" s="12"/>
      <c r="S49" s="39"/>
      <c r="T49" s="39"/>
      <c r="U49" s="39"/>
    </row>
    <row r="50" spans="5:21">
      <c r="E50" s="107"/>
      <c r="J50" s="39"/>
      <c r="K50" s="39"/>
      <c r="L50" s="107"/>
      <c r="M50" s="107"/>
      <c r="N50" s="107"/>
      <c r="O50" s="12"/>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L121" s="39"/>
      <c r="M121" s="39"/>
      <c r="S121" s="39"/>
      <c r="T121" s="39"/>
      <c r="U121" s="39"/>
    </row>
    <row r="122" spans="5:21">
      <c r="E122" s="107"/>
      <c r="L122" s="39"/>
      <c r="M122" s="39"/>
      <c r="S122" s="39"/>
      <c r="T122" s="39"/>
      <c r="U122" s="39"/>
    </row>
    <row r="123" spans="5:21">
      <c r="E123" s="107"/>
      <c r="L123" s="39"/>
      <c r="M123" s="39"/>
      <c r="S123" s="39"/>
      <c r="T123" s="39"/>
      <c r="U123" s="39"/>
    </row>
    <row r="124" spans="5:21">
      <c r="E124" s="107"/>
      <c r="L124" s="39"/>
      <c r="M124" s="39"/>
      <c r="S124" s="39"/>
      <c r="T124" s="39"/>
      <c r="U124" s="39"/>
    </row>
    <row r="125" spans="5:21">
      <c r="E125" s="107"/>
      <c r="L125" s="39"/>
      <c r="M125" s="39"/>
      <c r="S125" s="39"/>
      <c r="T125" s="39"/>
      <c r="U125" s="39"/>
    </row>
    <row r="126" spans="5:21">
      <c r="E126" s="107"/>
      <c r="L126" s="39"/>
      <c r="M126" s="39"/>
      <c r="S126" s="39"/>
      <c r="T126" s="39"/>
      <c r="U126" s="39"/>
    </row>
    <row r="127" spans="5:21">
      <c r="E127" s="107"/>
      <c r="L127" s="39"/>
      <c r="M127" s="39"/>
      <c r="S127" s="39"/>
      <c r="T127" s="39"/>
      <c r="U127" s="39"/>
    </row>
    <row r="128" spans="5:21">
      <c r="E128" s="107"/>
      <c r="L128" s="39"/>
      <c r="M128" s="39"/>
      <c r="S128" s="39"/>
      <c r="T128" s="39"/>
      <c r="U128" s="39"/>
    </row>
    <row r="129" spans="5:21">
      <c r="E129" s="107"/>
      <c r="L129" s="39"/>
      <c r="M129" s="39"/>
      <c r="S129" s="39"/>
      <c r="T129" s="39"/>
      <c r="U129" s="39"/>
    </row>
    <row r="130" spans="5:21">
      <c r="E130" s="107"/>
      <c r="L130" s="39"/>
      <c r="M130" s="39"/>
      <c r="S130" s="39"/>
      <c r="T130" s="39"/>
      <c r="U130" s="39"/>
    </row>
    <row r="131" spans="5:21">
      <c r="E131" s="107"/>
      <c r="L131" s="39"/>
      <c r="M131" s="39"/>
      <c r="S131" s="39"/>
      <c r="T131" s="39"/>
      <c r="U131" s="39"/>
    </row>
    <row r="132" spans="5:21">
      <c r="E132" s="107"/>
      <c r="L132" s="39"/>
      <c r="M132" s="39"/>
      <c r="S132" s="39"/>
      <c r="T132" s="39"/>
      <c r="U132" s="39"/>
    </row>
    <row r="133" spans="5:21">
      <c r="E133" s="107"/>
      <c r="L133" s="39"/>
      <c r="M133" s="39"/>
      <c r="S133" s="39"/>
      <c r="T133" s="39"/>
      <c r="U133" s="39"/>
    </row>
    <row r="134" spans="5:21">
      <c r="E134" s="107"/>
      <c r="L134" s="39"/>
      <c r="M134" s="39"/>
      <c r="S134" s="39"/>
      <c r="T134" s="39"/>
      <c r="U134" s="39"/>
    </row>
    <row r="135" spans="5:21">
      <c r="E135" s="107"/>
      <c r="L135" s="39"/>
      <c r="M135" s="39"/>
      <c r="S135" s="39"/>
      <c r="T135" s="39"/>
      <c r="U135" s="39"/>
    </row>
    <row r="136" spans="5:21">
      <c r="E136" s="107"/>
      <c r="L136" s="39"/>
      <c r="M136" s="39"/>
      <c r="S136" s="39"/>
      <c r="T136" s="39"/>
      <c r="U136" s="39"/>
    </row>
    <row r="137" spans="5:21">
      <c r="E137" s="107"/>
      <c r="L137" s="39"/>
      <c r="M137" s="39"/>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Q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Q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20:D34 D8:D17" xr:uid="{EAB2736E-0FFF-43B7-BFD3-5175771F3CAF}">
      <formula1>Flow_units</formula1>
    </dataValidation>
    <dataValidation type="custom" allowBlank="1" showInputMessage="1" showErrorMessage="1" error="Please do not change this formula" prompt="Please do not change this formula" sqref="W4 V6:V1048576 V1:V4 S5:V5" xr:uid="{E3AF2C93-49C3-4401-AE90-0D7C50FE3A92}">
      <formula1>"Please do not change this formula"</formula1>
    </dataValidation>
    <dataValidation type="custom" allowBlank="1" showInputMessage="1" showErrorMessage="1" error="Please do not change this formula" sqref="R6:R19 R23:R1048576 N1:N1048576 O1:R5 O6:Q1048576" xr:uid="{F3C9E355-CFAA-422E-8DF0-E5DE90685A3E}">
      <formula1>"Please do not change this formula"</formula1>
    </dataValidation>
    <dataValidation type="custom" allowBlank="1" showInputMessage="1" showErrorMessage="1" error="Please do not change" sqref="R20:R22" xr:uid="{0194EE98-2C6E-4A7A-990B-B5A42936E8D0}">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28 S31:T35" xr:uid="{08E92544-97E4-401F-804E-0F87A3F920DD}">
      <formula1>0</formula1>
    </dataValidation>
  </dataValidations>
  <hyperlinks>
    <hyperlink ref="I2:J2" location="'Biomethane Transport'!A1" display="Go to the next step of this pathway" xr:uid="{9A67F42C-C9B6-4E43-B933-BE1CDA8C7C6C}"/>
    <hyperlink ref="I2:K2" location="Biomethane_Transport!A1" display="Go to the next step of this pathway" xr:uid="{ED75F8FB-ABC6-4315-A520-692BD06A7FFC}"/>
  </hyperlinks>
  <pageMargins left="0" right="0" top="0" bottom="0" header="0" footer="0"/>
  <pageSetup paperSize="9" orientation="portrait" r:id="rId10"/>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2700-000001000000}">
            <xm:f>AND(Path&lt;&gt;Units!$B$131,Path&lt;&gt;Units!$B$132,Path&lt;&gt;Units!$B$133,Path&lt;&gt;Units!$B$134,Master_Switch="On")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24" id="{00000000-000E-0000-1E00-000017000000}">
            <xm:f>AND(GHG_BIOMETHANE_REFORM!$D$5="Default",Master_Switch="On")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8A802-B67B-4F23-BB59-A71F0B643FF3}">
  <sheetPr codeName="Sheet27">
    <tabColor rgb="FFFF9900"/>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55"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20.453125" customWidth="1"/>
    <col min="16" max="16" width="8" customWidth="1"/>
    <col min="17" max="17" width="18.81640625" style="12" customWidth="1"/>
    <col min="18" max="18" width="17.54296875" style="12" customWidth="1"/>
    <col min="19" max="20" width="20.7265625" style="13" customWidth="1"/>
    <col min="21" max="21" width="22.7265625" style="13" customWidth="1"/>
    <col min="22" max="22" width="20.26953125" style="39" customWidth="1"/>
    <col min="23" max="23" width="7.1796875" style="12" customWidth="1"/>
    <col min="24" max="24" width="26" style="12" customWidth="1"/>
    <col min="26" max="16384" width="7.1796875" style="12"/>
  </cols>
  <sheetData>
    <row r="1" spans="1:29" ht="31.9" customHeight="1">
      <c r="A1" s="80" t="str">
        <f>IF(AND(Path&lt;&gt;Units!$B$131,Path&lt;&gt;Units!$B$132,Path&lt;&gt;Units!$B$133,Path&lt;&gt;Units!$B$134,Master_Switch="On"),"User should not fill in this sheet, but switch to other non-blank GHG worksheets","")</f>
        <v>User should not fill in this sheet, but switch to other non-blank GHG worksheets</v>
      </c>
      <c r="E1" s="256"/>
    </row>
    <row r="2" spans="1:29" ht="20.5" customHeight="1">
      <c r="B2" s="80" t="str">
        <f>IF(AND(GHG_BIOMETHANE_REFORM!$D$5="Default",Master_Switch="On"),"Default data selected for this step, move to the next step of the pathway","")</f>
        <v/>
      </c>
      <c r="E2" s="256"/>
      <c r="I2" s="729" t="s">
        <v>1093</v>
      </c>
      <c r="J2" s="731"/>
      <c r="K2" s="732"/>
      <c r="L2" s="39"/>
      <c r="M2" s="39"/>
    </row>
    <row r="3" spans="1:29" ht="15" customHeight="1">
      <c r="E3" s="256"/>
    </row>
    <row r="4" spans="1:29" ht="15.65" customHeight="1" thickBot="1">
      <c r="B4" s="3"/>
      <c r="C4" s="3"/>
      <c r="D4" s="3"/>
      <c r="E4" s="455"/>
      <c r="F4" s="3"/>
      <c r="G4" s="3"/>
      <c r="H4" s="1"/>
      <c r="I4" s="1"/>
      <c r="J4" s="1"/>
      <c r="K4" s="1"/>
      <c r="L4" s="1"/>
      <c r="M4" s="1"/>
      <c r="N4" s="37"/>
      <c r="O4" s="1"/>
      <c r="P4" s="1"/>
      <c r="Q4" s="3"/>
      <c r="R4" s="3"/>
      <c r="S4" s="1"/>
      <c r="T4" s="1"/>
      <c r="U4" s="1"/>
      <c r="V4" s="37"/>
      <c r="W4" s="37"/>
      <c r="X4" s="3"/>
    </row>
    <row r="5" spans="1:29"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9" ht="15" thickTop="1">
      <c r="E6" s="457"/>
      <c r="Q6"/>
      <c r="R6"/>
      <c r="S6"/>
      <c r="T6"/>
      <c r="U6"/>
      <c r="V6"/>
    </row>
    <row r="7" spans="1:29">
      <c r="B7" s="145" t="s">
        <v>1097</v>
      </c>
      <c r="C7" s="145"/>
      <c r="D7" s="145"/>
      <c r="E7" s="324"/>
      <c r="F7" s="145"/>
      <c r="G7" s="145"/>
      <c r="H7" s="145"/>
      <c r="I7" s="145"/>
      <c r="J7" s="145"/>
      <c r="K7" s="145"/>
      <c r="L7" s="145"/>
      <c r="M7" s="145"/>
      <c r="N7" s="301"/>
      <c r="Q7"/>
      <c r="R7"/>
      <c r="S7"/>
      <c r="T7"/>
      <c r="U7"/>
      <c r="V7"/>
      <c r="W7" s="19"/>
      <c r="X7" s="19"/>
      <c r="Y7" s="19"/>
      <c r="Z7" s="19"/>
      <c r="AA7" s="19"/>
      <c r="AB7" s="19"/>
      <c r="AC7" s="19"/>
    </row>
    <row r="8" spans="1:29">
      <c r="B8" s="16" t="s">
        <v>1115</v>
      </c>
      <c r="C8" s="184" t="s">
        <v>1197</v>
      </c>
      <c r="D8" s="179" t="s">
        <v>459</v>
      </c>
      <c r="E8" s="35"/>
      <c r="F8" s="21"/>
      <c r="G8" s="21"/>
      <c r="H8" s="20"/>
      <c r="I8" s="20"/>
      <c r="J8" s="300"/>
      <c r="K8" s="302"/>
      <c r="L8" s="302"/>
      <c r="M8" s="302"/>
      <c r="N8" s="242">
        <f t="shared" ref="N8:N17" si="0">IF($D8="MWh/yr (LHV)",$E8,$J8*$E8*(1-$L8)/Conversion_kWh_to_MJ)</f>
        <v>0</v>
      </c>
      <c r="O8" s="12"/>
      <c r="P8" s="12"/>
      <c r="S8" s="107"/>
      <c r="T8" s="107"/>
      <c r="U8" s="107"/>
      <c r="V8" s="12"/>
      <c r="X8" s="24"/>
      <c r="Y8" s="12"/>
    </row>
    <row r="9" spans="1:29">
      <c r="B9" s="186" t="s">
        <v>1021</v>
      </c>
      <c r="C9" s="184" t="s">
        <v>1098</v>
      </c>
      <c r="D9" s="179" t="s">
        <v>479</v>
      </c>
      <c r="E9" s="35"/>
      <c r="F9" s="21"/>
      <c r="G9" s="21"/>
      <c r="H9" s="20"/>
      <c r="I9" s="36"/>
      <c r="J9" s="300"/>
      <c r="K9" s="302"/>
      <c r="L9" s="302"/>
      <c r="M9" s="302"/>
      <c r="N9" s="242">
        <f t="shared" si="0"/>
        <v>0</v>
      </c>
      <c r="O9" s="12"/>
      <c r="P9" s="12"/>
      <c r="S9" s="35" t="str">
        <f>IF(B9="", "", IF(D9="MWh/yr (LHV)", "Use column to right", "Enter data here"))</f>
        <v>Use column to right</v>
      </c>
      <c r="T9" s="35" t="e">
        <f>INDEX(Proj_grid_intensity_kWh,MATCH(Operations_year,Proj_grid_year,0))/Conversion_kWh_to_MJ</f>
        <v>#N/A</v>
      </c>
      <c r="U9" s="35" t="s">
        <v>1064</v>
      </c>
      <c r="V9" s="242" t="str">
        <f t="shared" ref="V9:V17" si="1">IFERROR(IF(D9="tonnes/yr", $S9*$E9/($N$20*3.6), $T9*$E9*3.6/($N$20*3.6)), "Unfilled fields to left")</f>
        <v>Unfilled fields to left</v>
      </c>
      <c r="X9" s="25"/>
      <c r="Y9" s="12"/>
    </row>
    <row r="10" spans="1:29">
      <c r="B10" s="186" t="s">
        <v>1021</v>
      </c>
      <c r="C10" s="184"/>
      <c r="D10" s="179"/>
      <c r="E10" s="35"/>
      <c r="F10" s="21"/>
      <c r="G10" s="21"/>
      <c r="H10" s="20"/>
      <c r="I10" s="36"/>
      <c r="J10" s="300"/>
      <c r="K10" s="302"/>
      <c r="L10" s="302"/>
      <c r="M10" s="302"/>
      <c r="N10" s="242">
        <f t="shared" si="0"/>
        <v>0</v>
      </c>
      <c r="O10" s="12"/>
      <c r="P10" s="12"/>
      <c r="S10" s="35" t="str">
        <f>IF(B10="", "", IF(D10="MWh/yr (LHV)", "Use column to right", "Enter data here"))</f>
        <v>Enter data here</v>
      </c>
      <c r="T10" s="35" t="str">
        <f t="shared" ref="T10" si="2">IF(B10="", "", IF(D10="MWh/yr (LHV)", "Enter data here", "Use column to left"))</f>
        <v>Use column to left</v>
      </c>
      <c r="U10" s="35" t="s">
        <v>1100</v>
      </c>
      <c r="V10" s="242" t="str">
        <f t="shared" si="1"/>
        <v>Unfilled fields to left</v>
      </c>
      <c r="X10" s="25"/>
      <c r="Y10" s="12"/>
    </row>
    <row r="11" spans="1:29">
      <c r="B11" s="186" t="s">
        <v>1042</v>
      </c>
      <c r="C11" s="184" t="s">
        <v>1043</v>
      </c>
      <c r="D11" s="179" t="s">
        <v>459</v>
      </c>
      <c r="E11" s="35"/>
      <c r="F11" s="21"/>
      <c r="G11" s="21"/>
      <c r="H11" s="20"/>
      <c r="I11" s="36"/>
      <c r="J11" s="300"/>
      <c r="K11" s="302"/>
      <c r="L11" s="302"/>
      <c r="M11" s="302"/>
      <c r="N11" s="242">
        <f t="shared" si="0"/>
        <v>0</v>
      </c>
      <c r="O11" s="12"/>
      <c r="P11" s="12"/>
      <c r="S11" s="35" t="str">
        <f t="shared" ref="S11:S16" si="3">IF(B11="", "", IF(D11="MWh/yr (LHV)", "Use column to right", "Enter data here"))</f>
        <v>Enter data here</v>
      </c>
      <c r="T11" s="35" t="str">
        <f t="shared" ref="T11:T16" si="4">IF(B11="", "", IF(D11="MWh/yr (LHV)", "Enter data here", "Use column to left"))</f>
        <v>Use column to left</v>
      </c>
      <c r="U11" s="35" t="s">
        <v>1100</v>
      </c>
      <c r="V11" s="242" t="str">
        <f t="shared" si="1"/>
        <v>Unfilled fields to left</v>
      </c>
      <c r="X11" s="25"/>
      <c r="Y11" s="12"/>
    </row>
    <row r="12" spans="1:29">
      <c r="B12" s="186" t="s">
        <v>1042</v>
      </c>
      <c r="C12" s="184" t="s">
        <v>1010</v>
      </c>
      <c r="D12" s="179"/>
      <c r="E12" s="35"/>
      <c r="F12" s="21"/>
      <c r="G12" s="21"/>
      <c r="H12" s="20"/>
      <c r="I12" s="36"/>
      <c r="J12" s="300"/>
      <c r="K12" s="302"/>
      <c r="L12" s="302"/>
      <c r="M12" s="302"/>
      <c r="N12" s="242">
        <f t="shared" si="0"/>
        <v>0</v>
      </c>
      <c r="O12" s="12"/>
      <c r="P12" s="12"/>
      <c r="S12" s="35" t="str">
        <f t="shared" si="3"/>
        <v>Enter data here</v>
      </c>
      <c r="T12" s="35" t="str">
        <f t="shared" si="4"/>
        <v>Use column to left</v>
      </c>
      <c r="U12" s="35" t="s">
        <v>1100</v>
      </c>
      <c r="V12" s="242" t="str">
        <f t="shared" si="1"/>
        <v>Unfilled fields to left</v>
      </c>
      <c r="X12" s="25"/>
      <c r="Y12" s="12"/>
    </row>
    <row r="13" spans="1:29">
      <c r="B13" s="186" t="s">
        <v>1051</v>
      </c>
      <c r="C13" s="184" t="s">
        <v>1101</v>
      </c>
      <c r="D13" s="179"/>
      <c r="E13" s="35"/>
      <c r="F13" s="21"/>
      <c r="G13" s="21"/>
      <c r="H13" s="20"/>
      <c r="I13" s="36"/>
      <c r="J13" s="300"/>
      <c r="K13" s="302"/>
      <c r="L13" s="302"/>
      <c r="M13" s="302"/>
      <c r="N13" s="242">
        <f t="shared" si="0"/>
        <v>0</v>
      </c>
      <c r="O13" s="12"/>
      <c r="P13" s="12"/>
      <c r="S13" s="35" t="str">
        <f t="shared" si="3"/>
        <v>Enter data here</v>
      </c>
      <c r="T13" s="35" t="str">
        <f t="shared" si="4"/>
        <v>Use column to left</v>
      </c>
      <c r="U13" s="35" t="s">
        <v>1100</v>
      </c>
      <c r="V13" s="242" t="str">
        <f t="shared" si="1"/>
        <v>Unfilled fields to left</v>
      </c>
      <c r="X13" s="25"/>
      <c r="Y13" s="12"/>
    </row>
    <row r="14" spans="1:29">
      <c r="B14" s="186" t="s">
        <v>1051</v>
      </c>
      <c r="C14" s="184"/>
      <c r="D14" s="179"/>
      <c r="E14" s="35"/>
      <c r="F14" s="21"/>
      <c r="G14" s="21"/>
      <c r="H14" s="20"/>
      <c r="I14" s="36"/>
      <c r="J14" s="300"/>
      <c r="K14" s="302"/>
      <c r="L14" s="302"/>
      <c r="M14" s="302"/>
      <c r="N14" s="242">
        <f t="shared" si="0"/>
        <v>0</v>
      </c>
      <c r="O14" s="12"/>
      <c r="P14" s="12"/>
      <c r="S14" s="35" t="str">
        <f t="shared" si="3"/>
        <v>Enter data here</v>
      </c>
      <c r="T14" s="35" t="str">
        <f t="shared" si="4"/>
        <v>Use column to left</v>
      </c>
      <c r="U14" s="35" t="s">
        <v>1100</v>
      </c>
      <c r="V14" s="242" t="str">
        <f t="shared" si="1"/>
        <v>Unfilled fields to left</v>
      </c>
      <c r="X14" s="25"/>
      <c r="Y14" s="12"/>
    </row>
    <row r="15" spans="1:29">
      <c r="B15" s="186" t="s">
        <v>1102</v>
      </c>
      <c r="C15" s="184" t="s">
        <v>1055</v>
      </c>
      <c r="D15" s="179"/>
      <c r="E15" s="35"/>
      <c r="F15" s="21"/>
      <c r="G15" s="21"/>
      <c r="H15" s="20"/>
      <c r="I15" s="36"/>
      <c r="J15" s="300"/>
      <c r="K15" s="302"/>
      <c r="L15" s="302"/>
      <c r="M15" s="302"/>
      <c r="N15" s="242">
        <f t="shared" si="0"/>
        <v>0</v>
      </c>
      <c r="O15" s="12"/>
      <c r="P15" s="12"/>
      <c r="S15" s="35" t="str">
        <f t="shared" si="3"/>
        <v>Enter data here</v>
      </c>
      <c r="T15" s="35" t="str">
        <f t="shared" si="4"/>
        <v>Use column to left</v>
      </c>
      <c r="U15" s="35" t="s">
        <v>1100</v>
      </c>
      <c r="V15" s="242" t="str">
        <f t="shared" si="1"/>
        <v>Unfilled fields to left</v>
      </c>
      <c r="X15" s="25"/>
      <c r="Y15" s="12"/>
    </row>
    <row r="16" spans="1:29">
      <c r="B16" s="186" t="s">
        <v>1102</v>
      </c>
      <c r="C16" s="15"/>
      <c r="D16" s="179"/>
      <c r="E16" s="35"/>
      <c r="F16" s="21"/>
      <c r="G16" s="21"/>
      <c r="H16" s="20"/>
      <c r="I16" s="36"/>
      <c r="J16" s="300"/>
      <c r="K16" s="302"/>
      <c r="L16" s="302"/>
      <c r="M16" s="302"/>
      <c r="N16" s="242">
        <f t="shared" si="0"/>
        <v>0</v>
      </c>
      <c r="O16" s="12"/>
      <c r="P16" s="12"/>
      <c r="S16" s="35" t="str">
        <f t="shared" si="3"/>
        <v>Enter data here</v>
      </c>
      <c r="T16" s="35" t="str">
        <f t="shared" si="4"/>
        <v>Use column to left</v>
      </c>
      <c r="U16" s="35" t="s">
        <v>1100</v>
      </c>
      <c r="V16" s="242" t="str">
        <f t="shared" si="1"/>
        <v>Unfilled fields to left</v>
      </c>
      <c r="X16" s="25"/>
      <c r="Y16" s="12"/>
    </row>
    <row r="17" spans="2:29">
      <c r="B17" s="16"/>
      <c r="C17" s="15"/>
      <c r="D17" s="179"/>
      <c r="E17" s="35"/>
      <c r="F17" s="21"/>
      <c r="G17" s="21"/>
      <c r="H17" s="20"/>
      <c r="I17" s="36"/>
      <c r="J17" s="300"/>
      <c r="K17" s="302"/>
      <c r="L17" s="302"/>
      <c r="M17" s="302"/>
      <c r="N17" s="242">
        <f t="shared" si="0"/>
        <v>0</v>
      </c>
      <c r="O17" s="12"/>
      <c r="P17" s="12"/>
      <c r="S17" s="302"/>
      <c r="T17" s="300"/>
      <c r="U17" s="302"/>
      <c r="V17" s="242" t="str">
        <f t="shared" si="1"/>
        <v>Unfilled fields to left</v>
      </c>
      <c r="X17" s="25"/>
      <c r="Y17" s="12"/>
    </row>
    <row r="18" spans="2:29">
      <c r="C18" s="17"/>
      <c r="D18" s="17"/>
      <c r="E18" s="506"/>
      <c r="F18" s="26"/>
      <c r="G18" s="27"/>
      <c r="H18" s="22"/>
      <c r="I18" s="22"/>
      <c r="J18" s="41"/>
      <c r="K18" s="41"/>
      <c r="L18" s="41"/>
      <c r="M18" s="41"/>
      <c r="N18" s="41"/>
      <c r="S18" s="41"/>
      <c r="T18" s="41"/>
      <c r="U18" s="41"/>
      <c r="V18" s="41"/>
      <c r="X18" s="27"/>
      <c r="Y18" s="12"/>
    </row>
    <row r="19" spans="2:29">
      <c r="B19" s="145" t="s">
        <v>1103</v>
      </c>
      <c r="C19" s="145"/>
      <c r="D19" s="145"/>
      <c r="E19" s="301"/>
      <c r="F19" s="145"/>
      <c r="G19" s="145"/>
      <c r="H19" s="145"/>
      <c r="I19" s="145"/>
      <c r="J19" s="301"/>
      <c r="K19" s="301"/>
      <c r="L19" s="301"/>
      <c r="M19" s="301"/>
      <c r="N19" s="301"/>
      <c r="Q19"/>
      <c r="R19"/>
      <c r="S19" s="40"/>
      <c r="T19" s="40"/>
      <c r="U19" s="40"/>
      <c r="V19" s="40"/>
      <c r="W19" s="19"/>
      <c r="X19" s="19"/>
      <c r="Y19" s="19"/>
      <c r="Z19" s="19"/>
      <c r="AA19" s="19"/>
      <c r="AB19" s="19"/>
      <c r="AC19" s="19"/>
    </row>
    <row r="20" spans="2:29">
      <c r="B20" s="16" t="s">
        <v>1104</v>
      </c>
      <c r="C20" s="184" t="s">
        <v>1197</v>
      </c>
      <c r="D20" s="179" t="s">
        <v>459</v>
      </c>
      <c r="E20" s="35"/>
      <c r="F20" s="21"/>
      <c r="G20" s="21"/>
      <c r="H20" s="21"/>
      <c r="I20" s="21"/>
      <c r="J20" s="300"/>
      <c r="K20" s="306"/>
      <c r="L20" s="306"/>
      <c r="M20" s="306"/>
      <c r="N20" s="242">
        <f t="shared" ref="N20:N31" si="5">IF($D20="MWh/yr (LHV)",$E20,$J20*$E20*(1-$L20)/Conversion_kWh_to_MJ)</f>
        <v>0</v>
      </c>
      <c r="O20" s="246" t="str">
        <f>IFERROR(N20/N8,"")</f>
        <v/>
      </c>
      <c r="Q20" s="515">
        <f>IF($D20="MWh/yr (LHV)",$E20,$E20*MAX(0, $J20*(1-$L20)-2.441*$L20)/Conversion_kWh_to_MJ)</f>
        <v>0</v>
      </c>
      <c r="R20" s="245" t="str">
        <f>IFERROR(Q20/(SUM($Q$20:$Q$22)),"")</f>
        <v/>
      </c>
      <c r="S20" s="42"/>
      <c r="T20" s="42"/>
      <c r="U20" s="42"/>
      <c r="V20" s="42"/>
      <c r="X20" s="21"/>
      <c r="Y20" s="12"/>
    </row>
    <row r="21" spans="2:29" s="14" customFormat="1">
      <c r="B21" s="186" t="s">
        <v>1008</v>
      </c>
      <c r="C21" s="184" t="s">
        <v>1106</v>
      </c>
      <c r="D21" s="179" t="s">
        <v>459</v>
      </c>
      <c r="E21" s="35"/>
      <c r="F21" s="21"/>
      <c r="G21" s="21"/>
      <c r="H21" s="20"/>
      <c r="I21" s="33"/>
      <c r="J21" s="300"/>
      <c r="K21" s="302"/>
      <c r="L21" s="302"/>
      <c r="M21" s="302"/>
      <c r="N21" s="242">
        <f t="shared" si="5"/>
        <v>0</v>
      </c>
      <c r="O21" s="12"/>
      <c r="P21" s="12"/>
      <c r="Q21" s="515">
        <f>IF($D21="MWh/yr (LHV)",$E21,$E21*MAX(0, $J21*(1-$L21)-2.441*$L21)/Conversion_kWh_to_MJ)</f>
        <v>0</v>
      </c>
      <c r="R21" s="245" t="str">
        <f t="shared" ref="R21:R22" si="6">IFERROR(Q21/(SUM($Q$20:$Q$22)),"")</f>
        <v/>
      </c>
      <c r="S21" s="42"/>
      <c r="T21" s="42"/>
      <c r="U21" s="107"/>
      <c r="V21" s="12"/>
      <c r="W21" s="23"/>
      <c r="X21" s="21"/>
      <c r="Y21" s="23"/>
      <c r="Z21" s="42"/>
      <c r="AB21" s="12"/>
    </row>
    <row r="22" spans="2:29" s="14" customFormat="1">
      <c r="B22" s="186" t="s">
        <v>1008</v>
      </c>
      <c r="C22" s="184" t="s">
        <v>1107</v>
      </c>
      <c r="D22" s="179" t="s">
        <v>459</v>
      </c>
      <c r="E22" s="35"/>
      <c r="F22" s="21"/>
      <c r="G22" s="21"/>
      <c r="H22" s="20"/>
      <c r="I22" s="20"/>
      <c r="J22" s="302"/>
      <c r="K22" s="302"/>
      <c r="L22" s="302"/>
      <c r="M22" s="302"/>
      <c r="N22" s="242">
        <f t="shared" si="5"/>
        <v>0</v>
      </c>
      <c r="O22" s="12"/>
      <c r="P22" s="12"/>
      <c r="Q22" s="515">
        <f>IF($D22="MWh/yr (LHV)",$E22,$E22*MAX(0, $J22*(1-$L22)-2.441*$L22)/Conversion_kWh_to_MJ)</f>
        <v>0</v>
      </c>
      <c r="R22" s="245" t="str">
        <f t="shared" si="6"/>
        <v/>
      </c>
      <c r="S22" s="42"/>
      <c r="T22" s="42"/>
      <c r="U22" s="107"/>
      <c r="V22" s="12"/>
      <c r="W22" s="23"/>
      <c r="X22" s="21"/>
      <c r="Y22" s="23"/>
      <c r="Z22" s="42"/>
      <c r="AB22" s="12"/>
    </row>
    <row r="23" spans="2:29" s="14" customFormat="1">
      <c r="B23" s="186" t="s">
        <v>1013</v>
      </c>
      <c r="C23" s="184" t="s">
        <v>1108</v>
      </c>
      <c r="D23" s="179" t="s">
        <v>459</v>
      </c>
      <c r="E23" s="35"/>
      <c r="F23" s="21"/>
      <c r="G23" s="21"/>
      <c r="H23" s="20"/>
      <c r="I23" s="20"/>
      <c r="J23" s="302"/>
      <c r="K23" s="302"/>
      <c r="L23" s="302"/>
      <c r="M23" s="302"/>
      <c r="N23" s="242">
        <f t="shared" si="5"/>
        <v>0</v>
      </c>
      <c r="O23" s="12"/>
      <c r="P23" s="12"/>
      <c r="Q23" s="12"/>
      <c r="R23" s="12"/>
      <c r="S23" s="107"/>
      <c r="T23" s="107"/>
      <c r="U23" s="107"/>
      <c r="V23" s="12"/>
      <c r="W23" s="23"/>
      <c r="X23" s="21"/>
      <c r="Y23" s="23"/>
      <c r="Z23" s="42"/>
      <c r="AB23" s="12"/>
    </row>
    <row r="24" spans="2:29" s="14" customFormat="1">
      <c r="B24" s="186" t="s">
        <v>1013</v>
      </c>
      <c r="C24" s="184" t="s">
        <v>1015</v>
      </c>
      <c r="D24" s="179" t="s">
        <v>459</v>
      </c>
      <c r="E24" s="35"/>
      <c r="F24" s="21"/>
      <c r="G24" s="21"/>
      <c r="H24" s="20"/>
      <c r="I24" s="20"/>
      <c r="J24" s="302"/>
      <c r="K24" s="302"/>
      <c r="L24" s="302"/>
      <c r="M24" s="302"/>
      <c r="N24" s="242">
        <f t="shared" si="5"/>
        <v>0</v>
      </c>
      <c r="O24" s="12"/>
      <c r="P24" s="12"/>
      <c r="Q24" s="12"/>
      <c r="R24" s="12"/>
      <c r="S24" s="107"/>
      <c r="T24" s="107"/>
      <c r="U24" s="107"/>
      <c r="V24" s="12"/>
      <c r="W24" s="23"/>
      <c r="X24" s="21"/>
      <c r="Y24" s="23"/>
      <c r="Z24" s="42"/>
      <c r="AB24" s="12"/>
    </row>
    <row r="25" spans="2:29" s="14" customFormat="1">
      <c r="B25" s="186" t="s">
        <v>1016</v>
      </c>
      <c r="C25" s="184" t="s">
        <v>1017</v>
      </c>
      <c r="D25" s="179" t="s">
        <v>459</v>
      </c>
      <c r="E25" s="35"/>
      <c r="F25" s="21"/>
      <c r="G25" s="21"/>
      <c r="H25" s="20"/>
      <c r="I25" s="36"/>
      <c r="J25" s="300"/>
      <c r="K25" s="302"/>
      <c r="L25" s="302"/>
      <c r="M25" s="302"/>
      <c r="N25" s="242">
        <f t="shared" si="5"/>
        <v>0</v>
      </c>
      <c r="O25" s="12"/>
      <c r="P25" s="12"/>
      <c r="Q25" s="12"/>
      <c r="R25" s="12"/>
      <c r="S25" s="107"/>
      <c r="T25" s="107"/>
      <c r="U25" s="107"/>
      <c r="V25" s="12"/>
      <c r="X25" s="21"/>
    </row>
    <row r="26" spans="2:29" s="14" customFormat="1">
      <c r="B26" s="186" t="s">
        <v>1016</v>
      </c>
      <c r="C26" s="184" t="s">
        <v>1018</v>
      </c>
      <c r="D26" s="179" t="s">
        <v>459</v>
      </c>
      <c r="E26" s="35"/>
      <c r="F26" s="21"/>
      <c r="G26" s="21"/>
      <c r="H26" s="20"/>
      <c r="I26" s="36"/>
      <c r="J26" s="300"/>
      <c r="K26" s="302"/>
      <c r="L26" s="302"/>
      <c r="M26" s="302"/>
      <c r="N26" s="242">
        <f t="shared" si="5"/>
        <v>0</v>
      </c>
      <c r="O26" s="12"/>
      <c r="P26" s="12"/>
      <c r="Q26" s="12"/>
      <c r="R26" s="12"/>
      <c r="S26" s="107"/>
      <c r="T26" s="107"/>
      <c r="U26" s="107"/>
      <c r="V26" s="12"/>
      <c r="X26" s="21"/>
    </row>
    <row r="27" spans="2:29" s="14" customFormat="1">
      <c r="B27" s="186" t="s">
        <v>1057</v>
      </c>
      <c r="C27" s="184" t="s">
        <v>1182</v>
      </c>
      <c r="D27" s="179" t="s">
        <v>459</v>
      </c>
      <c r="E27" s="35"/>
      <c r="F27" s="34"/>
      <c r="G27" s="21"/>
      <c r="H27" s="20"/>
      <c r="I27" s="36"/>
      <c r="J27" s="300"/>
      <c r="K27" s="302"/>
      <c r="L27" s="302"/>
      <c r="M27" s="302"/>
      <c r="N27" s="242">
        <f t="shared" si="5"/>
        <v>0</v>
      </c>
      <c r="O27" s="12"/>
      <c r="P27" s="12"/>
      <c r="Q27" s="12"/>
      <c r="R27" s="12"/>
      <c r="S27" s="35">
        <v>1000</v>
      </c>
      <c r="T27" s="518"/>
      <c r="U27" s="35" t="s">
        <v>1118</v>
      </c>
      <c r="V27" s="242" t="str">
        <f>IFERROR(IF(D27="tonnes/yr", $S27*$E27/($N$20*3.6), $T27*$E27*3.6/($N$20*3.6)), "Unfilled fields to left")</f>
        <v>Unfilled fields to left</v>
      </c>
      <c r="X27" s="21"/>
    </row>
    <row r="28" spans="2:29" s="14" customFormat="1">
      <c r="B28" s="186" t="s">
        <v>1113</v>
      </c>
      <c r="C28" s="184" t="s">
        <v>1073</v>
      </c>
      <c r="D28" s="179" t="s">
        <v>459</v>
      </c>
      <c r="E28" s="35"/>
      <c r="F28" s="34"/>
      <c r="G28" s="21"/>
      <c r="H28" s="20"/>
      <c r="I28" s="36"/>
      <c r="J28" s="300"/>
      <c r="K28" s="302"/>
      <c r="L28" s="302"/>
      <c r="M28" s="302"/>
      <c r="N28" s="242">
        <f t="shared" si="5"/>
        <v>0</v>
      </c>
      <c r="O28" s="12"/>
      <c r="P28" s="12"/>
      <c r="Q28" s="12"/>
      <c r="R28" s="12"/>
      <c r="S28" s="35">
        <v>28000</v>
      </c>
      <c r="T28" s="518"/>
      <c r="U28" s="35" t="s">
        <v>1059</v>
      </c>
      <c r="V28" s="242" t="str">
        <f>IFERROR(IF(D28="tonnes/yr", $S28*$E28/($N$20*3.6), $T28*$E28*3.6/($N$20*3.6)), "Unfilled fields to left")</f>
        <v>Unfilled fields to left</v>
      </c>
      <c r="X28" s="21"/>
    </row>
    <row r="29" spans="2:29" s="14" customFormat="1">
      <c r="B29" s="186" t="s">
        <v>1113</v>
      </c>
      <c r="C29" s="184" t="s">
        <v>1075</v>
      </c>
      <c r="D29" s="179" t="s">
        <v>459</v>
      </c>
      <c r="E29" s="35"/>
      <c r="F29" s="21"/>
      <c r="G29" s="21"/>
      <c r="H29" s="20"/>
      <c r="I29" s="36"/>
      <c r="J29" s="300"/>
      <c r="K29" s="302"/>
      <c r="L29" s="302"/>
      <c r="M29" s="302"/>
      <c r="N29" s="242">
        <f t="shared" si="5"/>
        <v>0</v>
      </c>
      <c r="O29" s="12"/>
      <c r="P29" s="12"/>
      <c r="Q29" s="12"/>
      <c r="R29" s="12"/>
      <c r="S29" s="35">
        <v>265000</v>
      </c>
      <c r="T29" s="518"/>
      <c r="U29" s="35" t="s">
        <v>1059</v>
      </c>
      <c r="V29" s="242" t="str">
        <f>IFERROR(IF(D29="tonnes/yr", $S29*$E29/($N$20*3.6), $T29*$E29*3.6/($N$20*3.6)), "Unfilled fields to left")</f>
        <v>Unfilled fields to left</v>
      </c>
      <c r="X29" s="21"/>
    </row>
    <row r="30" spans="2:29" s="14" customFormat="1">
      <c r="B30" s="16"/>
      <c r="C30" s="15"/>
      <c r="D30" s="179"/>
      <c r="E30" s="35"/>
      <c r="F30" s="21"/>
      <c r="G30" s="21"/>
      <c r="H30" s="20"/>
      <c r="I30" s="36"/>
      <c r="J30" s="300"/>
      <c r="K30" s="302"/>
      <c r="L30" s="302"/>
      <c r="M30" s="302"/>
      <c r="N30" s="242">
        <f t="shared" si="5"/>
        <v>0</v>
      </c>
      <c r="O30" s="12"/>
      <c r="P30" s="12"/>
      <c r="Q30" s="12"/>
      <c r="R30" s="12"/>
      <c r="S30" s="300"/>
      <c r="T30" s="477"/>
      <c r="U30" s="302"/>
      <c r="V30" s="242" t="str">
        <f>IFERROR(IF(D30="tonnes/yr", $S30*$E30/($N$20*3.6), $T30*$E30*3.6/($N$20*3.6)), "Unfilled fields to left")</f>
        <v>Unfilled fields to left</v>
      </c>
      <c r="X30" s="21"/>
    </row>
    <row r="31" spans="2:29" s="14" customFormat="1">
      <c r="B31" s="16"/>
      <c r="C31" s="15"/>
      <c r="D31" s="179"/>
      <c r="E31" s="35"/>
      <c r="F31" s="21"/>
      <c r="G31" s="21"/>
      <c r="H31" s="20"/>
      <c r="I31" s="36"/>
      <c r="J31" s="300"/>
      <c r="K31" s="302"/>
      <c r="L31" s="302"/>
      <c r="M31" s="302"/>
      <c r="N31" s="242">
        <f t="shared" si="5"/>
        <v>0</v>
      </c>
      <c r="O31" s="12"/>
      <c r="P31" s="12"/>
      <c r="Q31" s="12"/>
      <c r="R31" s="12"/>
      <c r="S31" s="300"/>
      <c r="T31" s="477"/>
      <c r="U31" s="302"/>
      <c r="V31" s="242" t="str">
        <f>IFERROR(IF(D31="tonnes/yr", $S31*$E31/($N$20*3.6), $T31*$E31*3.6/($N$20*3.6)), "Unfilled fields to left")</f>
        <v>Unfilled fields to left</v>
      </c>
      <c r="X31" s="21"/>
    </row>
    <row r="32" spans="2:29">
      <c r="C32" s="17"/>
      <c r="D32" s="17"/>
      <c r="E32" s="140"/>
      <c r="F32" s="17"/>
      <c r="H32" s="18"/>
      <c r="I32" s="18"/>
      <c r="J32" s="40"/>
      <c r="K32" s="40"/>
      <c r="L32" s="40"/>
      <c r="M32" s="40"/>
      <c r="N32" s="40"/>
      <c r="O32" s="12"/>
      <c r="P32" s="12"/>
      <c r="S32" s="40"/>
      <c r="T32" s="40"/>
      <c r="U32" s="40"/>
      <c r="V32" s="40"/>
      <c r="Y32" s="12"/>
    </row>
    <row r="33" spans="2:25">
      <c r="D33" s="17"/>
      <c r="E33" s="140"/>
      <c r="J33" s="39"/>
      <c r="K33" s="39"/>
      <c r="L33" s="39"/>
      <c r="M33" s="39"/>
      <c r="O33" s="12"/>
      <c r="P33" s="12"/>
      <c r="S33" s="39"/>
      <c r="T33" s="39"/>
      <c r="U33" s="38" t="s">
        <v>1114</v>
      </c>
      <c r="V33" s="153">
        <f>SUM(V7:V32)</f>
        <v>0</v>
      </c>
      <c r="Y33" s="12"/>
    </row>
    <row r="34" spans="2:25">
      <c r="B34" s="145" t="s">
        <v>132</v>
      </c>
      <c r="C34" s="159"/>
      <c r="D34" s="159"/>
      <c r="E34" s="499"/>
      <c r="I34" s="12"/>
      <c r="J34" s="107"/>
      <c r="K34" s="107"/>
      <c r="L34" s="107"/>
      <c r="M34" s="107"/>
      <c r="N34" s="107"/>
      <c r="O34" s="12"/>
      <c r="P34" s="12"/>
      <c r="S34" s="107"/>
      <c r="T34" s="107"/>
      <c r="U34" s="107"/>
      <c r="Y34" s="12"/>
    </row>
    <row r="35" spans="2:25">
      <c r="B35" s="16" t="s">
        <v>1086</v>
      </c>
      <c r="C35" s="15" t="s">
        <v>1087</v>
      </c>
      <c r="D35" s="15" t="s">
        <v>1088</v>
      </c>
      <c r="E35" s="501"/>
      <c r="G35" s="19"/>
      <c r="H35" s="12"/>
      <c r="I35" s="12"/>
      <c r="J35" s="107"/>
      <c r="K35" s="107"/>
      <c r="L35" s="107"/>
      <c r="M35" s="107"/>
      <c r="N35" s="107"/>
      <c r="O35" s="12"/>
      <c r="P35" s="12"/>
      <c r="S35" s="107"/>
      <c r="T35" s="107"/>
      <c r="U35" s="107"/>
      <c r="V35" s="12"/>
      <c r="X35" s="25"/>
      <c r="Y35" s="12"/>
    </row>
    <row r="36" spans="2:25">
      <c r="B36" s="16" t="s">
        <v>1119</v>
      </c>
      <c r="C36" s="15" t="s">
        <v>1120</v>
      </c>
      <c r="D36" s="15" t="s">
        <v>299</v>
      </c>
      <c r="E36" s="501"/>
      <c r="H36" s="12"/>
      <c r="I36" s="12"/>
      <c r="J36" s="107"/>
      <c r="K36" s="107"/>
      <c r="L36" s="107"/>
      <c r="M36" s="107"/>
      <c r="N36" s="107"/>
      <c r="O36" s="12"/>
      <c r="P36" s="12"/>
      <c r="S36" s="107"/>
      <c r="T36" s="107"/>
      <c r="U36" s="107"/>
      <c r="V36" s="12"/>
      <c r="X36" s="25"/>
      <c r="Y36" s="12"/>
    </row>
    <row r="37" spans="2:25">
      <c r="B37" s="16"/>
      <c r="C37" s="15"/>
      <c r="D37" s="15"/>
      <c r="E37" s="507"/>
      <c r="J37" s="39"/>
      <c r="K37" s="39"/>
      <c r="L37" s="39"/>
      <c r="M37" s="39"/>
      <c r="S37" s="39"/>
      <c r="T37" s="39"/>
      <c r="U37" s="39"/>
      <c r="X37" s="25"/>
    </row>
    <row r="38" spans="2:25">
      <c r="B38" s="16"/>
      <c r="C38" s="15"/>
      <c r="D38" s="15"/>
      <c r="E38" s="507"/>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L18"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L18"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CE8A0FE5-9B1B-46E9-B8AD-CF36050511A8}">
      <formula1>Flow_units</formula1>
    </dataValidation>
    <dataValidation type="custom" allowBlank="1" showInputMessage="1" showErrorMessage="1" error="Please do not change this formula" prompt="Please do not change this formula" sqref="V6:V1048576 W4 V1:V4 S5:V5" xr:uid="{5819550A-0046-4BCF-88E5-DE181BBA36A6}">
      <formula1>"Please do not change this formula"</formula1>
    </dataValidation>
    <dataValidation type="custom" allowBlank="1" showInputMessage="1" showErrorMessage="1" error="Please do not change this formula" sqref="R6:R19 R23:R1048576 N1:N1048576 O1:R5 O6:Q1048576" xr:uid="{6445A2DE-B142-45A6-B0A4-2C6E596070BB}">
      <formula1>"Please do not change this formula"</formula1>
    </dataValidation>
    <dataValidation type="custom" allowBlank="1" showInputMessage="1" showErrorMessage="1" error="Please do not change" sqref="R20:R22" xr:uid="{2C898F8C-7F08-4D04-B07F-20DFC019B421}">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D523D3ED-4AAB-4C0F-8E67-53465FF6B56A}">
      <formula1>0</formula1>
    </dataValidation>
  </dataValidations>
  <hyperlinks>
    <hyperlink ref="I2:J2" location="'Biomethane Reforming (+CCS)'!A1" display="Go to the next step of this pathway" xr:uid="{A0620B2F-7F01-4DFD-95B3-0C0DFEDF8572}"/>
    <hyperlink ref="I2:K2" location="Biomethane_Reforming_CCS!A1" display="Go to the next step of this pathway" xr:uid="{807E3503-D43F-48B6-9E56-DA178E12DB08}"/>
  </hyperlinks>
  <pageMargins left="0" right="0" top="0" bottom="0" header="0" footer="0"/>
  <pageSetup paperSize="9" orientation="portrait" r:id="rId10"/>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2800-000001000000}">
            <xm:f>AND(Path&lt;&gt;Units!$B$131,Path&lt;&gt;Units!$B$132,Path&lt;&gt;Units!$B$133,Path&lt;&gt;Units!$B$134,Master_Switch="On")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20" id="{00000000-000E-0000-1F00-000013000000}">
            <xm:f>AND(GHG_BIOMETHANE_REFORM!$D$5="Default",Master_Switch="On")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EBB67-621B-4515-98DA-AC9D696B8AAF}">
  <sheetPr codeName="Sheet28">
    <tabColor rgb="FFFF9900"/>
  </sheetPr>
  <dimension ref="A1:AC246"/>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457"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18" customWidth="1"/>
    <col min="16" max="16" width="10.1796875" style="12" customWidth="1"/>
    <col min="17" max="17" width="18.81640625" style="12" customWidth="1"/>
    <col min="18" max="18" width="17.54296875" style="12" customWidth="1"/>
    <col min="19" max="20" width="20.7265625" style="13" customWidth="1"/>
    <col min="21" max="21" width="22.7265625" style="13" customWidth="1"/>
    <col min="22" max="22" width="20.26953125" style="39" customWidth="1"/>
    <col min="23" max="23" width="7.1796875" style="12"/>
    <col min="24" max="24" width="26" style="12" customWidth="1"/>
    <col min="26" max="16384" width="7.1796875" style="12"/>
  </cols>
  <sheetData>
    <row r="1" spans="1:28" ht="31.9" customHeight="1">
      <c r="A1" s="80" t="str">
        <f>IF(AND(Path&lt;&gt;Units!$B$131,Path&lt;&gt;Units!$B$132,Path&lt;&gt;Units!$B$133,Path&lt;&gt;Units!$B$134,Master_Switch="On"),"User should not fill in this sheet, but switch to other non-blank GHG worksheets","")</f>
        <v>User should not fill in this sheet, but switch to other non-blank GHG worksheets</v>
      </c>
      <c r="E1" s="256"/>
    </row>
    <row r="2" spans="1:28" ht="20.5" customHeight="1">
      <c r="E2" s="256"/>
      <c r="I2" s="729" t="s">
        <v>983</v>
      </c>
      <c r="J2" s="731"/>
      <c r="K2" s="732"/>
      <c r="L2" s="558"/>
      <c r="M2" s="558"/>
    </row>
    <row r="3" spans="1:28" ht="15" customHeight="1">
      <c r="E3" s="256"/>
    </row>
    <row r="4" spans="1:28" ht="15.65" customHeight="1" thickBot="1">
      <c r="B4" s="3"/>
      <c r="C4" s="3"/>
      <c r="D4" s="3"/>
      <c r="E4" s="455"/>
      <c r="F4" s="3"/>
      <c r="G4" s="3"/>
      <c r="H4" s="1"/>
      <c r="I4" s="1"/>
      <c r="J4" s="1"/>
      <c r="K4" s="1"/>
      <c r="L4" s="1"/>
      <c r="M4" s="1"/>
      <c r="N4" s="37"/>
      <c r="O4" s="1"/>
      <c r="P4" s="1"/>
      <c r="Q4" s="1"/>
      <c r="R4" s="3"/>
      <c r="S4" s="1"/>
      <c r="T4" s="1"/>
      <c r="U4" s="1"/>
      <c r="V4" s="37"/>
      <c r="W4" s="37"/>
      <c r="X4" s="37"/>
    </row>
    <row r="5" spans="1:28"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8" ht="15" thickTop="1">
      <c r="E6" s="256"/>
      <c r="O6" s="12"/>
      <c r="Q6" s="39"/>
    </row>
    <row r="7" spans="1:28">
      <c r="B7" s="145" t="s">
        <v>1003</v>
      </c>
      <c r="C7" s="145"/>
      <c r="D7" s="145"/>
      <c r="E7" s="324"/>
      <c r="F7" s="145"/>
      <c r="G7" s="145"/>
      <c r="H7" s="145"/>
      <c r="I7" s="145"/>
      <c r="J7" s="145"/>
      <c r="K7" s="145"/>
      <c r="L7" s="145"/>
      <c r="M7" s="145"/>
      <c r="N7" s="301"/>
      <c r="O7" s="12"/>
      <c r="Q7" s="556"/>
      <c r="S7" s="18"/>
      <c r="T7" s="18"/>
      <c r="U7" s="18"/>
      <c r="V7" s="40"/>
      <c r="Y7" s="12"/>
    </row>
    <row r="8" spans="1:28">
      <c r="B8" s="16" t="s">
        <v>1004</v>
      </c>
      <c r="C8" s="184" t="s">
        <v>1197</v>
      </c>
      <c r="D8" s="179" t="s">
        <v>459</v>
      </c>
      <c r="E8" s="35"/>
      <c r="F8" s="24"/>
      <c r="G8" s="21"/>
      <c r="H8" s="21"/>
      <c r="I8" s="21"/>
      <c r="J8" s="35"/>
      <c r="K8" s="306"/>
      <c r="L8" s="306"/>
      <c r="M8" s="306"/>
      <c r="N8" s="242">
        <f t="shared" ref="N8:N17" si="0">IF($D8="MWh/yr (LHV)",$E8,$J8*$E8*(1-$L8)/Conversion_kWh_to_MJ)</f>
        <v>0</v>
      </c>
      <c r="O8" s="12"/>
      <c r="Q8" s="555"/>
      <c r="S8" s="40"/>
      <c r="T8" s="40"/>
      <c r="U8" s="40"/>
      <c r="V8" s="40"/>
      <c r="X8" s="21"/>
      <c r="Y8" s="12"/>
    </row>
    <row r="9" spans="1:28">
      <c r="B9" s="16" t="s">
        <v>1006</v>
      </c>
      <c r="C9" s="15" t="s">
        <v>1121</v>
      </c>
      <c r="D9" s="15" t="s">
        <v>459</v>
      </c>
      <c r="E9" s="35">
        <f>Hydrogen_flow</f>
        <v>0</v>
      </c>
      <c r="F9" s="21"/>
      <c r="G9" s="21"/>
      <c r="H9" s="21"/>
      <c r="I9" s="21"/>
      <c r="J9" s="35">
        <v>120</v>
      </c>
      <c r="K9" s="306"/>
      <c r="L9" s="552">
        <v>0</v>
      </c>
      <c r="M9" s="306"/>
      <c r="N9" s="242">
        <f t="shared" si="0"/>
        <v>0</v>
      </c>
      <c r="O9" s="88" t="str">
        <f>IFERROR(N9/N8,"")</f>
        <v/>
      </c>
      <c r="Q9" s="515">
        <f>IF($D9="MWh/yr (LHV)",$E9,$E9*MAX(0, $J9*(1-$L9)-2.441*$L9)/Conversion_kWh_to_MJ)</f>
        <v>0</v>
      </c>
      <c r="R9" s="43" t="str">
        <f>IFERROR(Q9/(SUM($Q$9:$Q$13)),"")</f>
        <v/>
      </c>
      <c r="S9" s="42"/>
      <c r="T9" s="42"/>
      <c r="U9" s="42"/>
      <c r="V9" s="12"/>
      <c r="X9" s="21"/>
      <c r="Y9" s="12"/>
    </row>
    <row r="10" spans="1:28">
      <c r="B10" s="186" t="s">
        <v>1008</v>
      </c>
      <c r="C10" s="184" t="s">
        <v>1009</v>
      </c>
      <c r="D10" s="179" t="s">
        <v>479</v>
      </c>
      <c r="E10" s="35"/>
      <c r="F10" s="21"/>
      <c r="G10" s="21"/>
      <c r="H10" s="20"/>
      <c r="I10" s="33"/>
      <c r="J10" s="300"/>
      <c r="K10" s="302"/>
      <c r="L10" s="302"/>
      <c r="M10" s="302"/>
      <c r="N10" s="242">
        <f t="shared" si="0"/>
        <v>0</v>
      </c>
      <c r="O10" s="12"/>
      <c r="Q10" s="515">
        <f>IF($D10="MWh/yr (LHV)",$E10,$E10*MAX(0, $J10*(1-$L10)-2.441*$L10)/Conversion_kWh_to_MJ)</f>
        <v>0</v>
      </c>
      <c r="R10" s="43" t="str">
        <f t="shared" ref="R10:R13" si="1">IFERROR(Q10/(SUM($Q$9:$Q$13)),"")</f>
        <v/>
      </c>
      <c r="S10" s="42"/>
      <c r="T10" s="42"/>
      <c r="U10" s="42"/>
      <c r="V10" s="19"/>
      <c r="W10" s="23"/>
      <c r="X10" s="21"/>
      <c r="Y10" s="12"/>
    </row>
    <row r="11" spans="1:28">
      <c r="B11" s="186" t="s">
        <v>1008</v>
      </c>
      <c r="C11" s="184" t="s">
        <v>1098</v>
      </c>
      <c r="D11" s="179" t="s">
        <v>479</v>
      </c>
      <c r="E11" s="35"/>
      <c r="F11" s="21"/>
      <c r="G11" s="21"/>
      <c r="H11" s="20"/>
      <c r="I11" s="20"/>
      <c r="J11" s="302"/>
      <c r="K11" s="302"/>
      <c r="L11" s="302"/>
      <c r="M11" s="302"/>
      <c r="N11" s="242">
        <f t="shared" si="0"/>
        <v>0</v>
      </c>
      <c r="O11" s="12"/>
      <c r="Q11" s="515">
        <f>IF($D11="MWh/yr (LHV)",$E11,$E11*MAX(0, $J11*(1-$L11)-2.441*$L11)/Conversion_kWh_to_MJ)</f>
        <v>0</v>
      </c>
      <c r="R11" s="43" t="str">
        <f t="shared" si="1"/>
        <v/>
      </c>
      <c r="S11" s="42"/>
      <c r="T11" s="42"/>
      <c r="U11" s="42"/>
      <c r="V11" s="14"/>
      <c r="W11" s="23"/>
      <c r="X11" s="21"/>
      <c r="Y11" s="12"/>
    </row>
    <row r="12" spans="1:28">
      <c r="B12" s="186" t="s">
        <v>1008</v>
      </c>
      <c r="C12" s="184" t="s">
        <v>1011</v>
      </c>
      <c r="D12" s="179" t="s">
        <v>459</v>
      </c>
      <c r="E12" s="35"/>
      <c r="F12" s="21"/>
      <c r="G12" s="21"/>
      <c r="H12" s="20"/>
      <c r="I12" s="20"/>
      <c r="J12" s="302"/>
      <c r="K12" s="302"/>
      <c r="L12" s="302"/>
      <c r="M12" s="302"/>
      <c r="N12" s="242">
        <f t="shared" si="0"/>
        <v>0</v>
      </c>
      <c r="O12" s="12"/>
      <c r="Q12" s="515">
        <f>IF($D12="MWh/yr (LHV)",$E12,$E12*MAX(0, $J12*(1-$L12)-2.441*$L12)/Conversion_kWh_to_MJ)</f>
        <v>0</v>
      </c>
      <c r="R12" s="43" t="str">
        <f t="shared" si="1"/>
        <v/>
      </c>
      <c r="S12" s="40"/>
      <c r="T12" s="40"/>
      <c r="U12" s="40"/>
      <c r="V12" s="40"/>
      <c r="X12" s="21"/>
      <c r="Y12" s="12"/>
    </row>
    <row r="13" spans="1:28">
      <c r="B13" s="186" t="s">
        <v>1008</v>
      </c>
      <c r="C13" s="184" t="s">
        <v>1012</v>
      </c>
      <c r="D13" s="179" t="s">
        <v>459</v>
      </c>
      <c r="E13" s="35"/>
      <c r="F13" s="21"/>
      <c r="G13" s="21"/>
      <c r="H13" s="20"/>
      <c r="I13" s="20"/>
      <c r="J13" s="302"/>
      <c r="K13" s="302"/>
      <c r="L13" s="302"/>
      <c r="M13" s="302"/>
      <c r="N13" s="242">
        <f t="shared" si="0"/>
        <v>0</v>
      </c>
      <c r="O13" s="12"/>
      <c r="Q13" s="515">
        <f>IF($D13="MWh/yr (LHV)",$E13,$E13*MAX(0, $J13*(1-$L13)-2.441*$L13)/Conversion_kWh_to_MJ)</f>
        <v>0</v>
      </c>
      <c r="R13" s="43" t="str">
        <f t="shared" si="1"/>
        <v/>
      </c>
      <c r="S13" s="40"/>
      <c r="T13" s="40"/>
      <c r="U13" s="40"/>
      <c r="V13" s="40"/>
      <c r="X13" s="21"/>
      <c r="Y13" s="12"/>
    </row>
    <row r="14" spans="1:28" s="14" customFormat="1">
      <c r="B14" s="186" t="s">
        <v>1013</v>
      </c>
      <c r="C14" s="184" t="s">
        <v>1108</v>
      </c>
      <c r="D14" s="179" t="s">
        <v>459</v>
      </c>
      <c r="E14" s="35"/>
      <c r="F14" s="21"/>
      <c r="G14" s="21"/>
      <c r="H14" s="20"/>
      <c r="I14" s="20"/>
      <c r="J14" s="302"/>
      <c r="K14" s="302"/>
      <c r="L14" s="302"/>
      <c r="M14" s="302"/>
      <c r="N14" s="242">
        <f t="shared" si="0"/>
        <v>0</v>
      </c>
      <c r="O14" s="12"/>
      <c r="P14" s="12"/>
      <c r="Q14" s="12"/>
      <c r="R14" s="12"/>
      <c r="S14" s="107"/>
      <c r="T14" s="107"/>
      <c r="U14" s="107"/>
      <c r="V14" s="12"/>
      <c r="W14" s="23"/>
      <c r="X14" s="21"/>
      <c r="Y14" s="23"/>
      <c r="Z14" s="42"/>
      <c r="AB14" s="12"/>
    </row>
    <row r="15" spans="1:28" s="14" customFormat="1">
      <c r="B15" s="186" t="s">
        <v>1013</v>
      </c>
      <c r="C15" s="184" t="s">
        <v>1015</v>
      </c>
      <c r="D15" s="179" t="s">
        <v>459</v>
      </c>
      <c r="E15" s="35"/>
      <c r="F15" s="21"/>
      <c r="G15" s="21"/>
      <c r="H15" s="20"/>
      <c r="I15" s="20"/>
      <c r="J15" s="302"/>
      <c r="K15" s="302"/>
      <c r="L15" s="302"/>
      <c r="M15" s="302"/>
      <c r="N15" s="242">
        <f t="shared" si="0"/>
        <v>0</v>
      </c>
      <c r="O15" s="12"/>
      <c r="P15" s="12"/>
      <c r="Q15" s="12"/>
      <c r="R15" s="12"/>
      <c r="S15" s="107"/>
      <c r="T15" s="107"/>
      <c r="U15" s="107"/>
      <c r="V15" s="12"/>
      <c r="W15" s="23"/>
      <c r="X15" s="21"/>
      <c r="Y15" s="23"/>
      <c r="Z15" s="42"/>
      <c r="AB15" s="12"/>
    </row>
    <row r="16" spans="1:28" s="14" customFormat="1">
      <c r="B16" s="186" t="s">
        <v>1016</v>
      </c>
      <c r="C16" s="184" t="s">
        <v>1017</v>
      </c>
      <c r="D16" s="179" t="s">
        <v>459</v>
      </c>
      <c r="E16" s="35"/>
      <c r="F16" s="21"/>
      <c r="G16" s="21"/>
      <c r="H16" s="20"/>
      <c r="I16" s="36"/>
      <c r="J16" s="300"/>
      <c r="K16" s="302"/>
      <c r="L16" s="302"/>
      <c r="M16" s="302"/>
      <c r="N16" s="242">
        <f t="shared" si="0"/>
        <v>0</v>
      </c>
      <c r="O16" s="12"/>
      <c r="P16" s="12"/>
      <c r="Q16" s="12"/>
      <c r="R16" s="12"/>
      <c r="S16" s="107"/>
      <c r="T16" s="107"/>
      <c r="U16" s="107"/>
      <c r="V16" s="12"/>
      <c r="X16" s="21"/>
    </row>
    <row r="17" spans="1:29" s="14" customFormat="1">
      <c r="B17" s="186" t="s">
        <v>1016</v>
      </c>
      <c r="C17" s="184" t="s">
        <v>1018</v>
      </c>
      <c r="D17" s="179" t="s">
        <v>459</v>
      </c>
      <c r="E17" s="35"/>
      <c r="F17" s="21"/>
      <c r="G17" s="21"/>
      <c r="H17" s="20"/>
      <c r="I17" s="36"/>
      <c r="J17" s="300"/>
      <c r="K17" s="302"/>
      <c r="L17" s="302"/>
      <c r="M17" s="302"/>
      <c r="N17" s="242">
        <f t="shared" si="0"/>
        <v>0</v>
      </c>
      <c r="O17" s="12"/>
      <c r="P17" s="12"/>
      <c r="Q17" s="12"/>
      <c r="R17" s="12"/>
      <c r="S17" s="107"/>
      <c r="T17" s="107"/>
      <c r="U17" s="107"/>
      <c r="V17" s="12"/>
      <c r="X17" s="21"/>
    </row>
    <row r="18" spans="1:29">
      <c r="B18" s="68"/>
      <c r="C18" s="69"/>
      <c r="D18" s="78"/>
      <c r="E18" s="75"/>
      <c r="F18" s="76"/>
      <c r="G18" s="79"/>
      <c r="H18" s="71"/>
      <c r="I18" s="71"/>
      <c r="J18" s="75"/>
      <c r="K18" s="73"/>
      <c r="L18" s="73"/>
      <c r="M18" s="73"/>
      <c r="N18" s="73"/>
      <c r="O18" s="12"/>
      <c r="S18" s="40"/>
      <c r="T18" s="40"/>
      <c r="U18" s="40"/>
      <c r="V18" s="40"/>
      <c r="X18" s="76"/>
      <c r="Y18" s="12"/>
    </row>
    <row r="19" spans="1:29" ht="31">
      <c r="B19" s="80" t="str">
        <f>IF(AND(GHG_BIOMETHANE_REFORM!D9="Default",Master_Switch="On"),"Default data selected for the emissions category below, move to the next emissions category within this step","")</f>
        <v/>
      </c>
      <c r="C19" s="69"/>
      <c r="D19" s="78"/>
      <c r="E19" s="75"/>
      <c r="F19" s="76"/>
      <c r="G19" s="79"/>
      <c r="H19" s="71"/>
      <c r="I19" s="71"/>
      <c r="J19" s="75"/>
      <c r="K19" s="73"/>
      <c r="L19" s="73"/>
      <c r="M19" s="73"/>
      <c r="N19" s="73"/>
      <c r="O19" s="12"/>
      <c r="S19" s="40"/>
      <c r="T19" s="40"/>
      <c r="U19" s="40"/>
      <c r="V19" s="40"/>
      <c r="X19" s="76"/>
      <c r="Y19" s="12"/>
    </row>
    <row r="20" spans="1:29">
      <c r="B20" s="145" t="s">
        <v>1123</v>
      </c>
      <c r="C20" s="145"/>
      <c r="D20" s="145"/>
      <c r="E20" s="301"/>
      <c r="F20" s="145"/>
      <c r="G20" s="145"/>
      <c r="H20" s="150"/>
      <c r="I20" s="150"/>
      <c r="J20" s="147"/>
      <c r="K20" s="492"/>
      <c r="L20" s="492"/>
      <c r="M20" s="492"/>
      <c r="N20" s="491"/>
      <c r="O20" s="151"/>
      <c r="P20" s="152"/>
      <c r="Q20" s="152"/>
      <c r="R20" s="152"/>
      <c r="S20" s="480"/>
      <c r="T20" s="480"/>
      <c r="U20" s="480"/>
      <c r="V20" s="153">
        <f>SUM(V21:V27)</f>
        <v>0</v>
      </c>
      <c r="Y20" s="12"/>
    </row>
    <row r="21" spans="1:29">
      <c r="B21" s="186" t="s">
        <v>1021</v>
      </c>
      <c r="C21" s="184" t="s">
        <v>1208</v>
      </c>
      <c r="D21" s="179" t="s">
        <v>479</v>
      </c>
      <c r="E21" s="35"/>
      <c r="F21" s="24"/>
      <c r="G21" s="21"/>
      <c r="H21" s="21"/>
      <c r="I21" s="21"/>
      <c r="J21" s="303"/>
      <c r="K21" s="306"/>
      <c r="L21" s="306"/>
      <c r="M21" s="306"/>
      <c r="N21" s="242">
        <f t="shared" ref="N21:N30" si="2">IF($D21="MWh/yr (LHV)",$E21,$J21*$E21*(1-$L21)/Conversion_kWh_to_MJ)</f>
        <v>0</v>
      </c>
      <c r="O21" s="12"/>
      <c r="S21" s="300" t="str">
        <f t="shared" ref="S21:S30" si="3">IF(B21="", "", IF(D21="MWh/yr (LHV)", "Use column to right", "Enter data here"))</f>
        <v>Use column to right</v>
      </c>
      <c r="T21" s="300" t="e">
        <f>Initial_questions!$E$43*1/Conversion_kWh_to_MJ</f>
        <v>#VALUE!</v>
      </c>
      <c r="U21" s="35" t="s">
        <v>1062</v>
      </c>
      <c r="V21" s="67" t="str">
        <f t="shared" ref="V21:V30" si="4">IFERROR(IF(D21="tonnes/yr", $S21*$E21/($N$9*3.6), $T21*$E21*3.6/($N$9*3.6)), "Unfilled fields to left")</f>
        <v>Unfilled fields to left</v>
      </c>
      <c r="X21" s="21"/>
      <c r="Y21" s="12"/>
    </row>
    <row r="22" spans="1:29">
      <c r="B22" s="186" t="s">
        <v>1021</v>
      </c>
      <c r="C22" s="184" t="s">
        <v>1209</v>
      </c>
      <c r="D22" s="179" t="s">
        <v>479</v>
      </c>
      <c r="E22" s="35"/>
      <c r="F22" s="24"/>
      <c r="G22" s="21"/>
      <c r="H22" s="20"/>
      <c r="I22" s="36"/>
      <c r="J22" s="300"/>
      <c r="K22" s="302"/>
      <c r="L22" s="302"/>
      <c r="M22" s="302"/>
      <c r="N22" s="242">
        <f t="shared" si="2"/>
        <v>0</v>
      </c>
      <c r="O22" s="12"/>
      <c r="S22" s="300" t="str">
        <f t="shared" si="3"/>
        <v>Use column to right</v>
      </c>
      <c r="T22" s="300" t="e">
        <f>Initial_questions!$E$43*1/Conversion_kWh_to_MJ</f>
        <v>#VALUE!</v>
      </c>
      <c r="U22" s="35" t="s">
        <v>1062</v>
      </c>
      <c r="V22" s="67" t="str">
        <f t="shared" si="4"/>
        <v>Unfilled fields to left</v>
      </c>
      <c r="X22" s="25"/>
      <c r="Y22" s="12"/>
    </row>
    <row r="23" spans="1:29">
      <c r="B23" s="186" t="s">
        <v>1021</v>
      </c>
      <c r="C23" s="184" t="s">
        <v>1126</v>
      </c>
      <c r="D23" s="179" t="s">
        <v>479</v>
      </c>
      <c r="E23" s="35"/>
      <c r="F23" s="24"/>
      <c r="G23" s="21"/>
      <c r="H23" s="20"/>
      <c r="I23" s="36"/>
      <c r="J23" s="300"/>
      <c r="K23" s="302"/>
      <c r="L23" s="302"/>
      <c r="M23" s="302"/>
      <c r="N23" s="242">
        <f t="shared" si="2"/>
        <v>0</v>
      </c>
      <c r="O23" s="55"/>
      <c r="S23" s="300" t="str">
        <f t="shared" si="3"/>
        <v>Use column to right</v>
      </c>
      <c r="T23" s="300" t="e">
        <f>Initial_questions!$E$43*1/Conversion_kWh_to_MJ</f>
        <v>#VALUE!</v>
      </c>
      <c r="U23" s="35" t="s">
        <v>1062</v>
      </c>
      <c r="V23" s="67" t="str">
        <f t="shared" si="4"/>
        <v>Unfilled fields to left</v>
      </c>
      <c r="X23" s="25"/>
      <c r="Y23" s="12"/>
    </row>
    <row r="24" spans="1:29" s="14" customFormat="1">
      <c r="B24" s="186" t="s">
        <v>1021</v>
      </c>
      <c r="C24" s="184" t="s">
        <v>1039</v>
      </c>
      <c r="D24" s="179" t="s">
        <v>479</v>
      </c>
      <c r="E24" s="35"/>
      <c r="F24" s="24"/>
      <c r="G24" s="21"/>
      <c r="H24" s="63"/>
      <c r="I24" s="63"/>
      <c r="J24" s="304"/>
      <c r="K24" s="306"/>
      <c r="L24" s="306"/>
      <c r="M24" s="306"/>
      <c r="N24" s="242">
        <f t="shared" si="2"/>
        <v>0</v>
      </c>
      <c r="O24" s="19"/>
      <c r="P24" s="19"/>
      <c r="Q24" s="19"/>
      <c r="R24" s="19"/>
      <c r="S24" s="300" t="str">
        <f t="shared" si="3"/>
        <v>Use column to right</v>
      </c>
      <c r="T24" s="300" t="str">
        <f t="shared" ref="T24:T30" si="5">IF(B24="", "", IF(D24="MWh/yr (LHV)", "Enter data here", "Use column to left"))</f>
        <v>Enter data here</v>
      </c>
      <c r="U24" s="35" t="s">
        <v>1040</v>
      </c>
      <c r="V24" s="67" t="str">
        <f t="shared" si="4"/>
        <v>Unfilled fields to left</v>
      </c>
      <c r="X24" s="21"/>
    </row>
    <row r="25" spans="1:29" s="14" customFormat="1">
      <c r="B25" s="186" t="s">
        <v>1021</v>
      </c>
      <c r="C25" s="184" t="s">
        <v>1041</v>
      </c>
      <c r="D25" s="179" t="s">
        <v>479</v>
      </c>
      <c r="E25" s="35"/>
      <c r="F25" s="24"/>
      <c r="G25" s="21"/>
      <c r="H25" s="63"/>
      <c r="I25" s="63"/>
      <c r="J25" s="304"/>
      <c r="K25" s="306"/>
      <c r="L25" s="306"/>
      <c r="M25" s="306"/>
      <c r="N25" s="242">
        <f t="shared" si="2"/>
        <v>0</v>
      </c>
      <c r="O25" s="19"/>
      <c r="P25" s="19"/>
      <c r="Q25" s="19"/>
      <c r="R25" s="19"/>
      <c r="S25" s="300" t="str">
        <f t="shared" si="3"/>
        <v>Use column to right</v>
      </c>
      <c r="T25" s="300" t="str">
        <f t="shared" si="5"/>
        <v>Enter data here</v>
      </c>
      <c r="U25" s="35" t="s">
        <v>1040</v>
      </c>
      <c r="V25" s="67" t="str">
        <f t="shared" si="4"/>
        <v>Unfilled fields to left</v>
      </c>
      <c r="X25" s="65"/>
    </row>
    <row r="26" spans="1:29">
      <c r="B26" s="186" t="s">
        <v>1042</v>
      </c>
      <c r="C26" s="184" t="s">
        <v>1043</v>
      </c>
      <c r="D26" s="179" t="s">
        <v>459</v>
      </c>
      <c r="E26" s="35"/>
      <c r="F26" s="21"/>
      <c r="G26" s="21"/>
      <c r="H26" s="20"/>
      <c r="I26" s="36"/>
      <c r="J26" s="300"/>
      <c r="K26" s="302"/>
      <c r="L26" s="302"/>
      <c r="M26" s="302"/>
      <c r="N26" s="242">
        <f t="shared" si="2"/>
        <v>0</v>
      </c>
      <c r="O26" s="19"/>
      <c r="P26" s="19"/>
      <c r="Q26" s="19"/>
      <c r="R26" s="19"/>
      <c r="S26" s="300" t="str">
        <f t="shared" si="3"/>
        <v>Enter data here</v>
      </c>
      <c r="T26" s="300" t="str">
        <f t="shared" si="5"/>
        <v>Use column to left</v>
      </c>
      <c r="U26" s="35" t="s">
        <v>1044</v>
      </c>
      <c r="V26" s="67" t="str">
        <f t="shared" si="4"/>
        <v>Unfilled fields to left</v>
      </c>
      <c r="W26" s="19"/>
      <c r="X26" s="25"/>
      <c r="Y26" s="19"/>
      <c r="Z26" s="19"/>
      <c r="AA26" s="19"/>
      <c r="AB26" s="19"/>
      <c r="AC26" s="19"/>
    </row>
    <row r="27" spans="1:29">
      <c r="B27" s="186" t="s">
        <v>1042</v>
      </c>
      <c r="C27" s="184" t="s">
        <v>1045</v>
      </c>
      <c r="D27" s="179" t="s">
        <v>459</v>
      </c>
      <c r="E27" s="35"/>
      <c r="F27" s="21"/>
      <c r="G27" s="21"/>
      <c r="H27" s="20"/>
      <c r="I27" s="36"/>
      <c r="J27" s="300"/>
      <c r="K27" s="302"/>
      <c r="L27" s="302"/>
      <c r="M27" s="302"/>
      <c r="N27" s="242">
        <f t="shared" si="2"/>
        <v>0</v>
      </c>
      <c r="O27" s="19"/>
      <c r="P27" s="19"/>
      <c r="Q27" s="19"/>
      <c r="R27" s="19"/>
      <c r="S27" s="300" t="str">
        <f t="shared" si="3"/>
        <v>Enter data here</v>
      </c>
      <c r="T27" s="300" t="str">
        <f t="shared" si="5"/>
        <v>Use column to left</v>
      </c>
      <c r="U27" s="35" t="s">
        <v>1044</v>
      </c>
      <c r="V27" s="67" t="str">
        <f t="shared" si="4"/>
        <v>Unfilled fields to left</v>
      </c>
      <c r="W27" s="19"/>
      <c r="X27" s="25"/>
      <c r="Y27" s="19"/>
      <c r="Z27" s="19"/>
      <c r="AA27" s="19"/>
      <c r="AB27" s="19"/>
      <c r="AC27" s="19"/>
    </row>
    <row r="28" spans="1:29">
      <c r="B28" s="186" t="s">
        <v>1042</v>
      </c>
      <c r="C28" s="184" t="s">
        <v>1046</v>
      </c>
      <c r="D28" s="179" t="s">
        <v>459</v>
      </c>
      <c r="E28" s="35"/>
      <c r="F28" s="21"/>
      <c r="G28" s="21"/>
      <c r="H28" s="20"/>
      <c r="I28" s="36"/>
      <c r="J28" s="300"/>
      <c r="K28" s="302"/>
      <c r="L28" s="302"/>
      <c r="M28" s="302"/>
      <c r="N28" s="242">
        <f t="shared" si="2"/>
        <v>0</v>
      </c>
      <c r="O28" s="19"/>
      <c r="P28" s="19"/>
      <c r="Q28" s="19"/>
      <c r="R28" s="19"/>
      <c r="S28" s="300" t="str">
        <f t="shared" si="3"/>
        <v>Enter data here</v>
      </c>
      <c r="T28" s="300" t="str">
        <f t="shared" si="5"/>
        <v>Use column to left</v>
      </c>
      <c r="U28" s="35" t="s">
        <v>1044</v>
      </c>
      <c r="V28" s="67" t="str">
        <f t="shared" si="4"/>
        <v>Unfilled fields to left</v>
      </c>
      <c r="W28" s="19"/>
      <c r="X28" s="25"/>
      <c r="Y28" s="19"/>
      <c r="Z28" s="19"/>
      <c r="AA28" s="19"/>
      <c r="AB28" s="19"/>
      <c r="AC28" s="19"/>
    </row>
    <row r="29" spans="1:29">
      <c r="A29" s="19"/>
      <c r="B29" s="16"/>
      <c r="C29" s="15"/>
      <c r="D29" s="179"/>
      <c r="E29" s="35"/>
      <c r="F29" s="21"/>
      <c r="G29" s="21"/>
      <c r="H29" s="20"/>
      <c r="I29" s="36"/>
      <c r="J29" s="300"/>
      <c r="K29" s="302"/>
      <c r="L29" s="302"/>
      <c r="M29" s="302"/>
      <c r="N29" s="242">
        <f t="shared" si="2"/>
        <v>0</v>
      </c>
      <c r="O29" s="19"/>
      <c r="P29" s="19"/>
      <c r="Q29" s="19"/>
      <c r="R29" s="19"/>
      <c r="S29" s="300" t="str">
        <f t="shared" si="3"/>
        <v/>
      </c>
      <c r="T29" s="300" t="str">
        <f t="shared" si="5"/>
        <v/>
      </c>
      <c r="U29" s="35"/>
      <c r="V29" s="67" t="str">
        <f t="shared" si="4"/>
        <v>Unfilled fields to left</v>
      </c>
      <c r="W29" s="19"/>
      <c r="X29" s="25"/>
      <c r="Y29" s="19"/>
      <c r="Z29" s="19"/>
      <c r="AA29" s="19"/>
      <c r="AB29" s="19"/>
      <c r="AC29" s="19"/>
    </row>
    <row r="30" spans="1:29">
      <c r="A30" s="19"/>
      <c r="B30" s="16"/>
      <c r="C30" s="15"/>
      <c r="D30" s="179"/>
      <c r="E30" s="35"/>
      <c r="F30" s="21"/>
      <c r="G30" s="21"/>
      <c r="H30" s="20"/>
      <c r="I30" s="36"/>
      <c r="J30" s="300"/>
      <c r="K30" s="302"/>
      <c r="L30" s="302"/>
      <c r="M30" s="302"/>
      <c r="N30" s="242">
        <f t="shared" si="2"/>
        <v>0</v>
      </c>
      <c r="O30" s="19"/>
      <c r="P30" s="19"/>
      <c r="Q30" s="19"/>
      <c r="R30" s="19"/>
      <c r="S30" s="300" t="str">
        <f t="shared" si="3"/>
        <v/>
      </c>
      <c r="T30" s="300" t="str">
        <f t="shared" si="5"/>
        <v/>
      </c>
      <c r="U30" s="35"/>
      <c r="V30" s="67" t="str">
        <f t="shared" si="4"/>
        <v>Unfilled fields to left</v>
      </c>
      <c r="W30" s="19"/>
      <c r="X30" s="25"/>
      <c r="Y30" s="19"/>
      <c r="Z30" s="19"/>
      <c r="AA30" s="19"/>
      <c r="AB30" s="19"/>
      <c r="AC30" s="19"/>
    </row>
    <row r="31" spans="1:29">
      <c r="C31" s="475"/>
      <c r="D31" s="475"/>
      <c r="E31" s="508"/>
      <c r="F31" s="475"/>
      <c r="G31" s="70"/>
      <c r="H31" s="71"/>
      <c r="I31" s="72"/>
      <c r="J31" s="75"/>
      <c r="K31" s="73"/>
      <c r="L31" s="73"/>
      <c r="M31" s="73"/>
      <c r="N31" s="73"/>
      <c r="O31" s="12"/>
      <c r="S31" s="75"/>
      <c r="T31" s="73"/>
      <c r="U31" s="73"/>
      <c r="V31" s="73"/>
      <c r="X31" s="74"/>
      <c r="Y31" s="12"/>
    </row>
    <row r="32" spans="1:29" ht="31">
      <c r="B32" s="80" t="str">
        <f>IF(AND(GHG_BIOMETHANE_REFORM!D10="Default",Master_Switch = "On"),"Default data selected for the emissions category below, move to the next emissions category within this step","")</f>
        <v/>
      </c>
      <c r="C32" s="69"/>
      <c r="D32" s="69"/>
      <c r="E32" s="504"/>
      <c r="F32" s="70"/>
      <c r="G32" s="70"/>
      <c r="H32" s="71"/>
      <c r="I32" s="72"/>
      <c r="J32" s="75"/>
      <c r="K32" s="73"/>
      <c r="L32" s="73"/>
      <c r="M32" s="73"/>
      <c r="N32" s="73"/>
      <c r="O32" s="12"/>
      <c r="S32" s="75"/>
      <c r="T32" s="73"/>
      <c r="U32" s="73"/>
      <c r="V32" s="73"/>
      <c r="X32" s="74"/>
      <c r="Y32" s="12"/>
    </row>
    <row r="33" spans="2:25" ht="16.5">
      <c r="B33" s="145" t="s">
        <v>1127</v>
      </c>
      <c r="C33" s="154"/>
      <c r="D33" s="154"/>
      <c r="E33" s="505"/>
      <c r="F33" s="155"/>
      <c r="G33" s="155"/>
      <c r="H33" s="156"/>
      <c r="I33" s="157"/>
      <c r="J33" s="305"/>
      <c r="K33" s="476"/>
      <c r="L33" s="476"/>
      <c r="M33" s="476"/>
      <c r="N33" s="476"/>
      <c r="O33" s="158"/>
      <c r="P33" s="158"/>
      <c r="Q33" s="158"/>
      <c r="R33" s="158"/>
      <c r="S33" s="305"/>
      <c r="T33" s="476"/>
      <c r="U33" s="476"/>
      <c r="V33" s="153">
        <f>SUM(V34:V43)</f>
        <v>0</v>
      </c>
      <c r="X33" s="74"/>
      <c r="Y33" s="12"/>
    </row>
    <row r="34" spans="2:25">
      <c r="B34" s="16" t="s">
        <v>1048</v>
      </c>
      <c r="C34" s="184" t="s">
        <v>1128</v>
      </c>
      <c r="D34" s="179" t="s">
        <v>459</v>
      </c>
      <c r="E34" s="35"/>
      <c r="F34" s="21"/>
      <c r="G34" s="21"/>
      <c r="H34" s="21"/>
      <c r="I34" s="21"/>
      <c r="J34" s="306"/>
      <c r="K34" s="306"/>
      <c r="L34" s="306"/>
      <c r="M34" s="306"/>
      <c r="N34" s="242">
        <f t="shared" ref="N34:N43" si="6">IF($D34="MWh/yr (LHV)",$E34,$J34*$E34*(1-$L34)/Conversion_kWh_to_MJ)</f>
        <v>0</v>
      </c>
      <c r="O34" s="12"/>
      <c r="S34" s="35" t="str">
        <f t="shared" ref="S34:S43" si="7">IF(B34="", "", IF(D34="MWh/yr (LHV)", "Use column to right", "Enter data here"))</f>
        <v>Enter data here</v>
      </c>
      <c r="T34" s="35" t="str">
        <f t="shared" ref="T34:T43" si="8">IF(B34="", "", IF(D34="MWh/yr (LHV)", "Enter data here", "Use column to left"))</f>
        <v>Use column to left</v>
      </c>
      <c r="U34" s="35" t="s">
        <v>1050</v>
      </c>
      <c r="V34" s="44" t="str">
        <f t="shared" ref="V34:V43" si="9">IFERROR(IF(D34="tonnes/yr", $S34*$E34/($N$9*3.6), $T34*$E34*3.6/($N$9*3.6)), "Unfilled fields to left")</f>
        <v>Unfilled fields to left</v>
      </c>
      <c r="X34" s="21"/>
      <c r="Y34" s="12"/>
    </row>
    <row r="35" spans="2:25">
      <c r="B35" s="16" t="s">
        <v>1051</v>
      </c>
      <c r="C35" s="184" t="s">
        <v>1010</v>
      </c>
      <c r="D35" s="179" t="s">
        <v>459</v>
      </c>
      <c r="E35" s="35"/>
      <c r="F35" s="21"/>
      <c r="G35" s="21"/>
      <c r="H35" s="20"/>
      <c r="I35" s="36"/>
      <c r="J35" s="300"/>
      <c r="K35" s="302"/>
      <c r="L35" s="302"/>
      <c r="M35" s="302"/>
      <c r="N35" s="242">
        <f t="shared" si="6"/>
        <v>0</v>
      </c>
      <c r="O35" s="12"/>
      <c r="S35" s="35" t="str">
        <f t="shared" si="7"/>
        <v>Enter data here</v>
      </c>
      <c r="T35" s="35" t="str">
        <f t="shared" si="8"/>
        <v>Use column to left</v>
      </c>
      <c r="U35" s="35" t="s">
        <v>1050</v>
      </c>
      <c r="V35" s="44" t="str">
        <f t="shared" si="9"/>
        <v>Unfilled fields to left</v>
      </c>
      <c r="X35" s="25"/>
      <c r="Y35" s="12"/>
    </row>
    <row r="36" spans="2:25">
      <c r="B36" s="16" t="s">
        <v>1051</v>
      </c>
      <c r="C36" s="184" t="s">
        <v>1053</v>
      </c>
      <c r="D36" s="179" t="s">
        <v>459</v>
      </c>
      <c r="E36" s="35"/>
      <c r="F36" s="21"/>
      <c r="G36" s="21"/>
      <c r="H36" s="20"/>
      <c r="I36" s="36"/>
      <c r="J36" s="300"/>
      <c r="K36" s="302"/>
      <c r="L36" s="302"/>
      <c r="M36" s="302"/>
      <c r="N36" s="242">
        <f t="shared" si="6"/>
        <v>0</v>
      </c>
      <c r="O36" s="12"/>
      <c r="S36" s="35" t="str">
        <f t="shared" si="7"/>
        <v>Enter data here</v>
      </c>
      <c r="T36" s="35" t="str">
        <f t="shared" si="8"/>
        <v>Use column to left</v>
      </c>
      <c r="U36" s="35" t="s">
        <v>1050</v>
      </c>
      <c r="V36" s="44" t="str">
        <f t="shared" si="9"/>
        <v>Unfilled fields to left</v>
      </c>
      <c r="X36" s="25"/>
      <c r="Y36" s="12"/>
    </row>
    <row r="37" spans="2:25">
      <c r="B37" s="16" t="s">
        <v>1051</v>
      </c>
      <c r="C37" s="184"/>
      <c r="D37" s="179"/>
      <c r="E37" s="35"/>
      <c r="F37" s="21"/>
      <c r="G37" s="21"/>
      <c r="H37" s="20"/>
      <c r="I37" s="36"/>
      <c r="J37" s="300"/>
      <c r="K37" s="302"/>
      <c r="L37" s="302"/>
      <c r="M37" s="302"/>
      <c r="N37" s="242">
        <f t="shared" si="6"/>
        <v>0</v>
      </c>
      <c r="O37" s="12"/>
      <c r="S37" s="35" t="str">
        <f t="shared" si="7"/>
        <v>Enter data here</v>
      </c>
      <c r="T37" s="35" t="str">
        <f t="shared" si="8"/>
        <v>Use column to left</v>
      </c>
      <c r="U37" s="35" t="s">
        <v>1050</v>
      </c>
      <c r="V37" s="44" t="str">
        <f t="shared" si="9"/>
        <v>Unfilled fields to left</v>
      </c>
      <c r="X37" s="25"/>
      <c r="Y37" s="12"/>
    </row>
    <row r="38" spans="2:25">
      <c r="B38" s="16" t="s">
        <v>1054</v>
      </c>
      <c r="C38" s="184" t="s">
        <v>1055</v>
      </c>
      <c r="D38" s="179" t="s">
        <v>459</v>
      </c>
      <c r="E38" s="35"/>
      <c r="F38" s="21"/>
      <c r="G38" s="21"/>
      <c r="H38" s="20"/>
      <c r="I38" s="36"/>
      <c r="J38" s="300"/>
      <c r="K38" s="302"/>
      <c r="L38" s="302"/>
      <c r="M38" s="302"/>
      <c r="N38" s="242">
        <f t="shared" si="6"/>
        <v>0</v>
      </c>
      <c r="O38" s="12"/>
      <c r="S38" s="35" t="str">
        <f t="shared" si="7"/>
        <v>Enter data here</v>
      </c>
      <c r="T38" s="35" t="str">
        <f t="shared" si="8"/>
        <v>Use column to left</v>
      </c>
      <c r="U38" s="35" t="s">
        <v>1050</v>
      </c>
      <c r="V38" s="44" t="str">
        <f t="shared" si="9"/>
        <v>Unfilled fields to left</v>
      </c>
      <c r="X38" s="25"/>
      <c r="Y38" s="12"/>
    </row>
    <row r="39" spans="2:25">
      <c r="B39" s="16" t="s">
        <v>1054</v>
      </c>
      <c r="C39" s="15"/>
      <c r="D39" s="179"/>
      <c r="E39" s="35"/>
      <c r="F39" s="21"/>
      <c r="G39" s="21"/>
      <c r="H39" s="20"/>
      <c r="I39" s="36"/>
      <c r="J39" s="300"/>
      <c r="K39" s="302"/>
      <c r="L39" s="302"/>
      <c r="M39" s="302"/>
      <c r="N39" s="242">
        <f t="shared" si="6"/>
        <v>0</v>
      </c>
      <c r="O39" s="12"/>
      <c r="S39" s="35" t="str">
        <f t="shared" si="7"/>
        <v>Enter data here</v>
      </c>
      <c r="T39" s="35" t="str">
        <f t="shared" si="8"/>
        <v>Use column to left</v>
      </c>
      <c r="U39" s="35" t="s">
        <v>1050</v>
      </c>
      <c r="V39" s="44" t="str">
        <f t="shared" si="9"/>
        <v>Unfilled fields to left</v>
      </c>
      <c r="X39" s="25"/>
      <c r="Y39" s="12"/>
    </row>
    <row r="40" spans="2:25">
      <c r="B40" s="16"/>
      <c r="C40" s="15"/>
      <c r="D40" s="179"/>
      <c r="E40" s="35"/>
      <c r="F40" s="54"/>
      <c r="G40" s="21"/>
      <c r="H40" s="20"/>
      <c r="I40" s="36"/>
      <c r="J40" s="300"/>
      <c r="K40" s="302"/>
      <c r="L40" s="302"/>
      <c r="M40" s="302"/>
      <c r="N40" s="242">
        <f t="shared" si="6"/>
        <v>0</v>
      </c>
      <c r="O40" s="12"/>
      <c r="S40" s="35" t="str">
        <f t="shared" si="7"/>
        <v/>
      </c>
      <c r="T40" s="35" t="str">
        <f t="shared" si="8"/>
        <v/>
      </c>
      <c r="U40" s="35"/>
      <c r="V40" s="44" t="str">
        <f t="shared" si="9"/>
        <v>Unfilled fields to left</v>
      </c>
      <c r="X40" s="25"/>
      <c r="Y40" s="12"/>
    </row>
    <row r="41" spans="2:25">
      <c r="B41" s="16"/>
      <c r="C41" s="15"/>
      <c r="D41" s="179"/>
      <c r="E41" s="35"/>
      <c r="F41" s="54"/>
      <c r="G41" s="21"/>
      <c r="H41" s="20"/>
      <c r="I41" s="36"/>
      <c r="J41" s="300"/>
      <c r="K41" s="302"/>
      <c r="L41" s="302"/>
      <c r="M41" s="302"/>
      <c r="N41" s="242">
        <f t="shared" si="6"/>
        <v>0</v>
      </c>
      <c r="O41" s="12"/>
      <c r="S41" s="35" t="str">
        <f t="shared" si="7"/>
        <v/>
      </c>
      <c r="T41" s="35" t="str">
        <f t="shared" si="8"/>
        <v/>
      </c>
      <c r="U41" s="35"/>
      <c r="V41" s="44" t="str">
        <f t="shared" si="9"/>
        <v>Unfilled fields to left</v>
      </c>
      <c r="X41" s="25"/>
      <c r="Y41" s="12"/>
    </row>
    <row r="42" spans="2:25">
      <c r="B42" s="16"/>
      <c r="C42" s="15"/>
      <c r="D42" s="179"/>
      <c r="E42" s="35"/>
      <c r="F42" s="54"/>
      <c r="G42" s="21"/>
      <c r="H42" s="20"/>
      <c r="I42" s="36"/>
      <c r="J42" s="300"/>
      <c r="K42" s="302"/>
      <c r="L42" s="302"/>
      <c r="M42" s="302"/>
      <c r="N42" s="242">
        <f t="shared" si="6"/>
        <v>0</v>
      </c>
      <c r="O42" s="12"/>
      <c r="S42" s="35" t="str">
        <f t="shared" si="7"/>
        <v/>
      </c>
      <c r="T42" s="35" t="str">
        <f t="shared" si="8"/>
        <v/>
      </c>
      <c r="U42" s="35"/>
      <c r="V42" s="44" t="str">
        <f t="shared" si="9"/>
        <v>Unfilled fields to left</v>
      </c>
      <c r="X42" s="25"/>
      <c r="Y42" s="12"/>
    </row>
    <row r="43" spans="2:25">
      <c r="B43" s="16"/>
      <c r="C43" s="15"/>
      <c r="D43" s="179"/>
      <c r="E43" s="35"/>
      <c r="F43" s="21"/>
      <c r="G43" s="21"/>
      <c r="H43" s="20"/>
      <c r="I43" s="36"/>
      <c r="J43" s="300"/>
      <c r="K43" s="302"/>
      <c r="L43" s="302"/>
      <c r="M43" s="302"/>
      <c r="N43" s="242">
        <f t="shared" si="6"/>
        <v>0</v>
      </c>
      <c r="O43" s="12"/>
      <c r="S43" s="35" t="str">
        <f t="shared" si="7"/>
        <v/>
      </c>
      <c r="T43" s="35" t="str">
        <f t="shared" si="8"/>
        <v/>
      </c>
      <c r="U43" s="35"/>
      <c r="V43" s="44" t="str">
        <f t="shared" si="9"/>
        <v>Unfilled fields to left</v>
      </c>
      <c r="X43" s="25"/>
      <c r="Y43" s="12"/>
    </row>
    <row r="44" spans="2:25">
      <c r="B44" s="14"/>
      <c r="C44" s="83"/>
      <c r="D44" s="83"/>
      <c r="E44" s="498"/>
      <c r="F44" s="84"/>
      <c r="G44" s="85"/>
      <c r="H44" s="86"/>
      <c r="I44" s="86"/>
      <c r="J44" s="87"/>
      <c r="K44" s="87"/>
      <c r="L44" s="87"/>
      <c r="M44" s="87"/>
      <c r="N44" s="87"/>
      <c r="O44" s="28"/>
      <c r="P44" s="14"/>
      <c r="Q44" s="14"/>
      <c r="R44" s="14"/>
      <c r="S44" s="87"/>
      <c r="T44" s="87"/>
      <c r="U44" s="87"/>
      <c r="V44" s="87"/>
      <c r="X44" s="27"/>
      <c r="Y44" s="12"/>
    </row>
    <row r="45" spans="2:25" s="14" customFormat="1" ht="16.5">
      <c r="B45" s="145" t="s">
        <v>1131</v>
      </c>
      <c r="C45" s="154"/>
      <c r="D45" s="154"/>
      <c r="E45" s="505"/>
      <c r="F45" s="155"/>
      <c r="G45" s="155"/>
      <c r="H45" s="156"/>
      <c r="I45" s="157"/>
      <c r="J45" s="305"/>
      <c r="K45" s="476"/>
      <c r="L45" s="476"/>
      <c r="M45" s="476"/>
      <c r="N45" s="476"/>
      <c r="O45" s="158"/>
      <c r="P45" s="158"/>
      <c r="Q45" s="158"/>
      <c r="R45" s="158"/>
      <c r="S45" s="305"/>
      <c r="T45" s="476"/>
      <c r="U45" s="476"/>
      <c r="V45" s="153">
        <f>SUM(V46:V50)</f>
        <v>0</v>
      </c>
      <c r="X45" s="70"/>
    </row>
    <row r="46" spans="2:25" s="14" customFormat="1">
      <c r="B46" s="16" t="s">
        <v>1057</v>
      </c>
      <c r="C46" s="184" t="s">
        <v>1210</v>
      </c>
      <c r="D46" s="179" t="s">
        <v>459</v>
      </c>
      <c r="E46" s="35"/>
      <c r="F46" s="24"/>
      <c r="G46" s="21"/>
      <c r="H46" s="21"/>
      <c r="I46" s="21"/>
      <c r="J46" s="306"/>
      <c r="K46" s="306"/>
      <c r="L46" s="306"/>
      <c r="M46" s="306"/>
      <c r="N46" s="242">
        <f>IF($D46="MWh/yr (LHV)",$E46,$J46*$E46*(1-$L46)/Conversion_kWh_to_MJ)</f>
        <v>0</v>
      </c>
      <c r="O46" s="12"/>
      <c r="P46" s="12"/>
      <c r="Q46" s="12"/>
      <c r="R46" s="12"/>
      <c r="S46" s="300">
        <v>0</v>
      </c>
      <c r="T46" s="477"/>
      <c r="U46" s="35" t="s">
        <v>1200</v>
      </c>
      <c r="V46" s="242" t="str">
        <f>IFERROR(IF(D46="tonnes/yr", $S46*$E46/($N$9*3.6), $T46*$E46*3.6/($N$9*3.6)), "Unfilled fields to left")</f>
        <v>Unfilled fields to left</v>
      </c>
      <c r="X46" s="21"/>
    </row>
    <row r="47" spans="2:25" s="14" customFormat="1">
      <c r="B47" s="16" t="s">
        <v>1057</v>
      </c>
      <c r="C47" s="184" t="s">
        <v>1211</v>
      </c>
      <c r="D47" s="179" t="s">
        <v>459</v>
      </c>
      <c r="E47" s="35"/>
      <c r="F47" s="63"/>
      <c r="G47" s="63"/>
      <c r="H47" s="63"/>
      <c r="I47" s="63"/>
      <c r="J47" s="304"/>
      <c r="K47" s="306"/>
      <c r="L47" s="306"/>
      <c r="M47" s="306"/>
      <c r="N47" s="242">
        <f>IF($D47="MWh/yr (LHV)",$E47,$J47*$E47*(1-$L47)/Conversion_kWh_to_MJ)</f>
        <v>0</v>
      </c>
      <c r="O47" s="12"/>
      <c r="P47" s="12"/>
      <c r="Q47" s="12"/>
      <c r="R47" s="12"/>
      <c r="S47" s="35">
        <v>1000</v>
      </c>
      <c r="T47" s="518"/>
      <c r="U47" s="35" t="s">
        <v>1110</v>
      </c>
      <c r="V47" s="242" t="str">
        <f>IFERROR(IF(D47="tonnes/yr", $S47*$E47/($N$9*3.6), $T47*$E47*3.6/($N$9*3.6)), "Unfilled fields to left")</f>
        <v>Unfilled fields to left</v>
      </c>
      <c r="X47" s="21"/>
    </row>
    <row r="48" spans="2:25" s="14" customFormat="1">
      <c r="B48" s="64"/>
      <c r="C48" s="15"/>
      <c r="D48" s="179"/>
      <c r="E48" s="35"/>
      <c r="F48" s="21"/>
      <c r="G48" s="21"/>
      <c r="H48" s="63"/>
      <c r="I48" s="63"/>
      <c r="J48" s="304"/>
      <c r="K48" s="306"/>
      <c r="L48" s="306"/>
      <c r="M48" s="306"/>
      <c r="N48" s="242">
        <f>IF($D48="MWh/yr (LHV)",$E48,$J48*$E48*(1-$L48)/Conversion_kWh_to_MJ)</f>
        <v>0</v>
      </c>
      <c r="O48" s="19"/>
      <c r="P48" s="19"/>
      <c r="Q48" s="19"/>
      <c r="R48" s="19"/>
      <c r="S48" s="302"/>
      <c r="T48" s="477"/>
      <c r="U48" s="302"/>
      <c r="V48" s="242" t="str">
        <f>IFERROR(IF(D48="tonnes/yr", $S48*$E48/($N$9*3.6), $T48*$E48*3.6/($N$9*3.6)), "Unfilled fields to left")</f>
        <v>Unfilled fields to left</v>
      </c>
      <c r="X48" s="65"/>
    </row>
    <row r="49" spans="2:25" s="14" customFormat="1">
      <c r="B49" s="64"/>
      <c r="C49" s="15"/>
      <c r="D49" s="179"/>
      <c r="E49" s="35"/>
      <c r="F49" s="21"/>
      <c r="G49" s="21"/>
      <c r="H49" s="21"/>
      <c r="I49" s="21"/>
      <c r="J49" s="306"/>
      <c r="K49" s="306"/>
      <c r="L49" s="306"/>
      <c r="M49" s="306"/>
      <c r="N49" s="242">
        <f>IF($D49="MWh/yr (LHV)",$E49,$J49*$E49*(1-$L49)/Conversion_kWh_to_MJ)</f>
        <v>0</v>
      </c>
      <c r="O49" s="19"/>
      <c r="P49" s="19"/>
      <c r="Q49" s="19"/>
      <c r="R49" s="19"/>
      <c r="S49" s="308"/>
      <c r="T49" s="477"/>
      <c r="U49" s="302"/>
      <c r="V49" s="242" t="str">
        <f>IFERROR(IF(D49="tonnes/yr", $S49*$E49/($N$9*3.6), $T49*$E49*3.6/($N$9*3.6)), "Unfilled fields to left")</f>
        <v>Unfilled fields to left</v>
      </c>
      <c r="X49" s="65"/>
    </row>
    <row r="50" spans="2:25" s="14" customFormat="1">
      <c r="B50" s="64"/>
      <c r="C50" s="15"/>
      <c r="D50" s="179"/>
      <c r="E50" s="35"/>
      <c r="F50" s="21"/>
      <c r="G50" s="21"/>
      <c r="H50" s="21"/>
      <c r="I50" s="21"/>
      <c r="J50" s="306"/>
      <c r="K50" s="306"/>
      <c r="L50" s="306"/>
      <c r="M50" s="306"/>
      <c r="N50" s="242">
        <f>IF($D50="MWh/yr (LHV)",$E50,$J50*$E50*(1-$L50)/Conversion_kWh_to_MJ)</f>
        <v>0</v>
      </c>
      <c r="O50" s="19"/>
      <c r="P50" s="19"/>
      <c r="Q50" s="19"/>
      <c r="R50" s="19"/>
      <c r="S50" s="308"/>
      <c r="T50" s="477"/>
      <c r="U50" s="302"/>
      <c r="V50" s="242" t="str">
        <f>IFERROR(IF(D50="tonnes/yr", $S50*$E50/($N$9*3.6), $T50*$E50*3.6/($N$9*3.6)), "Unfilled fields to left")</f>
        <v>Unfilled fields to left</v>
      </c>
      <c r="X50" s="65"/>
    </row>
    <row r="51" spans="2:25" s="14" customFormat="1">
      <c r="B51" s="68"/>
      <c r="C51" s="69"/>
      <c r="D51" s="69"/>
      <c r="E51" s="504"/>
      <c r="F51" s="70"/>
      <c r="G51" s="70"/>
      <c r="H51" s="70"/>
      <c r="I51" s="70"/>
      <c r="J51" s="142"/>
      <c r="K51" s="142"/>
      <c r="L51" s="142"/>
      <c r="M51" s="142"/>
      <c r="N51" s="73"/>
      <c r="O51" s="19"/>
      <c r="P51" s="19"/>
      <c r="Q51" s="19"/>
      <c r="R51" s="19"/>
      <c r="S51" s="73"/>
      <c r="T51" s="73"/>
      <c r="U51" s="73"/>
      <c r="V51" s="73"/>
      <c r="X51" s="70"/>
    </row>
    <row r="52" spans="2:25" s="14" customFormat="1" ht="16.5">
      <c r="B52" s="145" t="s">
        <v>1060</v>
      </c>
      <c r="C52" s="154"/>
      <c r="D52" s="154"/>
      <c r="E52" s="505"/>
      <c r="F52" s="155"/>
      <c r="G52" s="155"/>
      <c r="H52" s="156"/>
      <c r="I52" s="157"/>
      <c r="J52" s="305"/>
      <c r="K52" s="476"/>
      <c r="L52" s="476"/>
      <c r="M52" s="476"/>
      <c r="N52" s="476"/>
      <c r="O52" s="158"/>
      <c r="P52" s="158"/>
      <c r="Q52" s="158"/>
      <c r="R52" s="158"/>
      <c r="S52" s="305"/>
      <c r="T52" s="476"/>
      <c r="U52" s="476"/>
      <c r="V52" s="153">
        <f>SUM(V53:V58)</f>
        <v>0</v>
      </c>
      <c r="X52" s="70"/>
    </row>
    <row r="53" spans="2:25" s="14" customFormat="1">
      <c r="B53" s="186" t="s">
        <v>1021</v>
      </c>
      <c r="C53" s="184" t="s">
        <v>1061</v>
      </c>
      <c r="D53" s="179" t="s">
        <v>479</v>
      </c>
      <c r="E53" s="35"/>
      <c r="F53" s="24"/>
      <c r="G53" s="21"/>
      <c r="H53" s="63"/>
      <c r="I53" s="63"/>
      <c r="J53" s="304"/>
      <c r="K53" s="306"/>
      <c r="L53" s="306"/>
      <c r="M53" s="306"/>
      <c r="N53" s="242">
        <f t="shared" ref="N53:N58" si="10">IF($D53="MWh/yr (LHV)",$E53,$J53*$E53*(1-$L53)/Conversion_kWh_to_MJ)</f>
        <v>0</v>
      </c>
      <c r="O53" s="19"/>
      <c r="P53" s="19"/>
      <c r="Q53" s="19"/>
      <c r="R53" s="19"/>
      <c r="S53" s="300" t="str">
        <f>IF(B53="", "", IF(D53="MWh/yr (LHV)", "Use column to right", "Enter data here"))</f>
        <v>Use column to right</v>
      </c>
      <c r="T53" s="300" t="e">
        <f>Initial_questions!$E$43*1/Conversion_kWh_to_MJ</f>
        <v>#VALUE!</v>
      </c>
      <c r="U53" s="35" t="s">
        <v>1062</v>
      </c>
      <c r="V53" s="242" t="str">
        <f t="shared" ref="V53:V58" si="11">IFERROR(IF(D53="tonnes/yr", $S53*$E53/($N$9*3.6), $T53*$E53*3.6/($N$9*3.6)), "Unfilled fields to left")</f>
        <v>Unfilled fields to left</v>
      </c>
      <c r="X53" s="21"/>
    </row>
    <row r="54" spans="2:25" s="14" customFormat="1">
      <c r="B54" s="186" t="s">
        <v>1021</v>
      </c>
      <c r="C54" s="184" t="s">
        <v>1063</v>
      </c>
      <c r="D54" s="179" t="s">
        <v>479</v>
      </c>
      <c r="E54" s="35"/>
      <c r="F54" s="24"/>
      <c r="G54" s="21"/>
      <c r="H54" s="63"/>
      <c r="I54" s="63"/>
      <c r="J54" s="304"/>
      <c r="K54" s="306"/>
      <c r="L54" s="306"/>
      <c r="M54" s="306"/>
      <c r="N54" s="242">
        <f t="shared" si="10"/>
        <v>0</v>
      </c>
      <c r="O54" s="19"/>
      <c r="P54" s="19"/>
      <c r="Q54" s="19"/>
      <c r="R54" s="19"/>
      <c r="S54" s="300" t="str">
        <f>IF(B54="", "", IF(D54="MWh/yr (LHV)", "Use column to right", "Enter data here"))</f>
        <v>Use column to right</v>
      </c>
      <c r="T54" s="300" t="e">
        <f>INDEX(Proj_grid_intensity_kWh,MATCH(Operations_year,Proj_grid_year,0))/Conversion_kWh_to_MJ</f>
        <v>#N/A</v>
      </c>
      <c r="U54" s="35" t="s">
        <v>1064</v>
      </c>
      <c r="V54" s="242" t="str">
        <f t="shared" si="11"/>
        <v>Unfilled fields to left</v>
      </c>
      <c r="X54" s="65"/>
    </row>
    <row r="55" spans="2:25" s="14" customFormat="1">
      <c r="B55" s="186" t="s">
        <v>1021</v>
      </c>
      <c r="C55" s="184" t="s">
        <v>1065</v>
      </c>
      <c r="D55" s="179" t="s">
        <v>459</v>
      </c>
      <c r="E55" s="35"/>
      <c r="F55" s="24"/>
      <c r="G55" s="21"/>
      <c r="H55" s="63"/>
      <c r="I55" s="63"/>
      <c r="J55" s="304"/>
      <c r="K55" s="306"/>
      <c r="L55" s="306"/>
      <c r="M55" s="306"/>
      <c r="N55" s="242">
        <f t="shared" si="10"/>
        <v>0</v>
      </c>
      <c r="O55" s="19"/>
      <c r="P55" s="19"/>
      <c r="Q55" s="19"/>
      <c r="R55" s="19"/>
      <c r="S55" s="300" t="str">
        <f>IF(B55="", "", IF(D55="MWh/yr (LHV)", "Use column to right", "Enter data here"))</f>
        <v>Enter data here</v>
      </c>
      <c r="T55" s="300" t="str">
        <f>IF(B55="", "", IF(D55="MWh/yr (LHV)", "Enter data here", "Use column to left"))</f>
        <v>Use column to left</v>
      </c>
      <c r="U55" s="35" t="s">
        <v>1066</v>
      </c>
      <c r="V55" s="242" t="str">
        <f t="shared" si="11"/>
        <v>Unfilled fields to left</v>
      </c>
      <c r="X55" s="65"/>
    </row>
    <row r="56" spans="2:25">
      <c r="B56" s="186" t="s">
        <v>1021</v>
      </c>
      <c r="C56" s="184" t="s">
        <v>1067</v>
      </c>
      <c r="D56" s="179" t="s">
        <v>459</v>
      </c>
      <c r="E56" s="35"/>
      <c r="F56" s="21"/>
      <c r="G56" s="21"/>
      <c r="H56" s="21"/>
      <c r="I56" s="21"/>
      <c r="J56" s="306"/>
      <c r="K56" s="306"/>
      <c r="L56" s="306"/>
      <c r="M56" s="306"/>
      <c r="N56" s="242">
        <f t="shared" si="10"/>
        <v>0</v>
      </c>
      <c r="O56" s="12"/>
      <c r="S56" s="300" t="str">
        <f>IF(B56="", "", IF(D56="MWh/yr (LHV)", "Use column to right", "Enter data here"))</f>
        <v>Enter data here</v>
      </c>
      <c r="T56" s="300" t="str">
        <f>IF(B56="", "", IF(D56="MWh/yr (LHV)", "Enter data here", "Use column to left"))</f>
        <v>Use column to left</v>
      </c>
      <c r="U56" s="35" t="s">
        <v>1066</v>
      </c>
      <c r="V56" s="242" t="str">
        <f t="shared" si="11"/>
        <v>Unfilled fields to left</v>
      </c>
      <c r="X56" s="21"/>
      <c r="Y56" s="12"/>
    </row>
    <row r="57" spans="2:25">
      <c r="B57" s="186" t="s">
        <v>1021</v>
      </c>
      <c r="C57" s="184" t="s">
        <v>1068</v>
      </c>
      <c r="D57" s="179" t="s">
        <v>479</v>
      </c>
      <c r="E57" s="35"/>
      <c r="F57" s="21"/>
      <c r="G57" s="21"/>
      <c r="H57" s="21"/>
      <c r="I57" s="21"/>
      <c r="J57" s="306"/>
      <c r="K57" s="306"/>
      <c r="L57" s="306"/>
      <c r="M57" s="306"/>
      <c r="N57" s="242">
        <f t="shared" si="10"/>
        <v>0</v>
      </c>
      <c r="O57" s="12"/>
      <c r="S57" s="300" t="str">
        <f>IF(B57="", "", IF(D57="MWh/yr (LHV)", "Use column to right", "Enter data here"))</f>
        <v>Use column to right</v>
      </c>
      <c r="T57" s="300" t="e">
        <f>INDEX(Proj_grid_intensity_kWh,MATCH(Operations_year,Proj_grid_year,0))/Conversion_kWh_to_MJ</f>
        <v>#N/A</v>
      </c>
      <c r="U57" s="35" t="s">
        <v>1064</v>
      </c>
      <c r="V57" s="242" t="str">
        <f t="shared" si="11"/>
        <v>Unfilled fields to left</v>
      </c>
      <c r="X57" s="21"/>
      <c r="Y57" s="12"/>
    </row>
    <row r="58" spans="2:25">
      <c r="B58" s="16"/>
      <c r="C58" s="15"/>
      <c r="D58" s="179"/>
      <c r="E58" s="35"/>
      <c r="F58" s="21"/>
      <c r="G58" s="21"/>
      <c r="H58" s="21"/>
      <c r="I58" s="21"/>
      <c r="J58" s="306"/>
      <c r="K58" s="306"/>
      <c r="L58" s="306"/>
      <c r="M58" s="306"/>
      <c r="N58" s="242">
        <f t="shared" si="10"/>
        <v>0</v>
      </c>
      <c r="O58" s="12"/>
      <c r="S58" s="302"/>
      <c r="T58" s="302"/>
      <c r="U58" s="302"/>
      <c r="V58" s="242" t="str">
        <f t="shared" si="11"/>
        <v>Unfilled fields to left</v>
      </c>
      <c r="X58" s="21"/>
      <c r="Y58" s="12"/>
    </row>
    <row r="59" spans="2:25" s="14" customFormat="1">
      <c r="B59" s="68"/>
      <c r="C59" s="69"/>
      <c r="D59" s="69"/>
      <c r="E59" s="142"/>
      <c r="F59" s="70"/>
      <c r="G59" s="70"/>
      <c r="H59" s="71"/>
      <c r="I59" s="71"/>
      <c r="J59" s="73"/>
      <c r="K59" s="73"/>
      <c r="L59" s="73"/>
      <c r="M59" s="73"/>
      <c r="N59" s="73"/>
      <c r="O59" s="12"/>
      <c r="P59" s="12"/>
      <c r="Q59" s="12"/>
      <c r="R59" s="12"/>
      <c r="S59" s="73"/>
      <c r="T59" s="73"/>
      <c r="U59" s="73"/>
      <c r="V59" s="73"/>
      <c r="X59" s="70"/>
    </row>
    <row r="60" spans="2:25" s="14" customFormat="1" ht="16.5">
      <c r="B60" s="145" t="s">
        <v>1069</v>
      </c>
      <c r="C60" s="154"/>
      <c r="D60" s="154"/>
      <c r="E60" s="505"/>
      <c r="F60" s="155"/>
      <c r="G60" s="155"/>
      <c r="H60" s="156"/>
      <c r="I60" s="157"/>
      <c r="J60" s="305"/>
      <c r="K60" s="476"/>
      <c r="L60" s="476"/>
      <c r="M60" s="476"/>
      <c r="N60" s="476"/>
      <c r="O60" s="158"/>
      <c r="P60" s="158"/>
      <c r="Q60" s="158"/>
      <c r="R60" s="158"/>
      <c r="S60" s="305"/>
      <c r="T60" s="476"/>
      <c r="U60" s="476"/>
      <c r="V60" s="153">
        <f>SUM(V61:V65)</f>
        <v>0</v>
      </c>
      <c r="X60" s="70"/>
    </row>
    <row r="61" spans="2:25" s="14" customFormat="1">
      <c r="B61" s="186" t="s">
        <v>1070</v>
      </c>
      <c r="C61" s="184" t="s">
        <v>1212</v>
      </c>
      <c r="D61" s="179" t="s">
        <v>459</v>
      </c>
      <c r="E61" s="35">
        <f>E46*$E$80</f>
        <v>0</v>
      </c>
      <c r="F61" s="63"/>
      <c r="G61" s="63"/>
      <c r="H61" s="63"/>
      <c r="I61" s="63"/>
      <c r="J61" s="304"/>
      <c r="K61" s="306"/>
      <c r="L61" s="306"/>
      <c r="M61" s="306"/>
      <c r="N61" s="242">
        <f>IF($D61="MWh/yr (LHV)",$E61,$J61*$E61*(1-$L61)/Conversion_kWh_to_MJ)</f>
        <v>0</v>
      </c>
      <c r="O61" s="12"/>
      <c r="P61" s="12"/>
      <c r="Q61" s="12"/>
      <c r="R61" s="12"/>
      <c r="S61" s="300">
        <v>-1000</v>
      </c>
      <c r="T61" s="477"/>
      <c r="U61" s="35" t="s">
        <v>1203</v>
      </c>
      <c r="V61" s="242" t="str">
        <f>IFERROR(IF(D61="tonnes/yr", $S61*$E61/($N$9*3.6), $T61*$E61*3.6/($N$9*3.6)), "Unfilled fields to left")</f>
        <v>Unfilled fields to left</v>
      </c>
      <c r="X61" s="21"/>
    </row>
    <row r="62" spans="2:25" s="14" customFormat="1">
      <c r="B62" s="186" t="s">
        <v>1070</v>
      </c>
      <c r="C62" s="184" t="s">
        <v>1133</v>
      </c>
      <c r="D62" s="179" t="s">
        <v>459</v>
      </c>
      <c r="E62" s="35">
        <f>E47*$E$80</f>
        <v>0</v>
      </c>
      <c r="F62" s="21"/>
      <c r="G62" s="21"/>
      <c r="H62" s="63"/>
      <c r="I62" s="63"/>
      <c r="J62" s="304"/>
      <c r="K62" s="306"/>
      <c r="L62" s="306"/>
      <c r="M62" s="306"/>
      <c r="N62" s="242">
        <f>IF($D62="MWh/yr (LHV)",$E62,$J62*$E62*(1-$L62)/Conversion_kWh_to_MJ)</f>
        <v>0</v>
      </c>
      <c r="O62" s="19"/>
      <c r="P62" s="19"/>
      <c r="Q62" s="19"/>
      <c r="R62" s="19"/>
      <c r="S62" s="300">
        <v>-1000</v>
      </c>
      <c r="T62" s="477"/>
      <c r="U62" s="35" t="s">
        <v>1134</v>
      </c>
      <c r="V62" s="242" t="str">
        <f>IFERROR(IF(D62="tonnes/yr", $S62*$E62/($N$9*3.6), $T62*$E62*3.6/($N$9*3.6)), "Unfilled fields to left")</f>
        <v>Unfilled fields to left</v>
      </c>
      <c r="X62" s="65"/>
    </row>
    <row r="63" spans="2:25" s="14" customFormat="1">
      <c r="B63" s="64"/>
      <c r="C63" s="15"/>
      <c r="D63" s="179"/>
      <c r="E63" s="35"/>
      <c r="F63" s="21"/>
      <c r="G63" s="21"/>
      <c r="H63" s="63"/>
      <c r="I63" s="63"/>
      <c r="J63" s="304"/>
      <c r="K63" s="306"/>
      <c r="L63" s="306"/>
      <c r="M63" s="306"/>
      <c r="N63" s="242">
        <f>IF($D63="MWh/yr (LHV)",$E63,$J63*$E63*(1-$L63)/Conversion_kWh_to_MJ)</f>
        <v>0</v>
      </c>
      <c r="O63" s="19"/>
      <c r="P63" s="19"/>
      <c r="Q63" s="19"/>
      <c r="R63" s="19"/>
      <c r="S63" s="302"/>
      <c r="T63" s="477"/>
      <c r="U63" s="302"/>
      <c r="V63" s="242" t="str">
        <f>IFERROR(IF(D63="tonnes/yr", $S63*$E63/($N$9*3.6), $T63*$E63*3.6/($N$9*3.6)), "Unfilled fields to left")</f>
        <v>Unfilled fields to left</v>
      </c>
      <c r="X63" s="65"/>
    </row>
    <row r="64" spans="2:25" s="14" customFormat="1">
      <c r="B64" s="64"/>
      <c r="C64" s="15"/>
      <c r="D64" s="179"/>
      <c r="E64" s="35"/>
      <c r="F64" s="21"/>
      <c r="G64" s="21"/>
      <c r="H64" s="21"/>
      <c r="I64" s="21"/>
      <c r="J64" s="306"/>
      <c r="K64" s="306"/>
      <c r="L64" s="306"/>
      <c r="M64" s="306"/>
      <c r="N64" s="242">
        <f>IF($D64="MWh/yr (LHV)",$E64,$J64*$E64*(1-$L64)/Conversion_kWh_to_MJ)</f>
        <v>0</v>
      </c>
      <c r="O64" s="19"/>
      <c r="P64" s="19"/>
      <c r="Q64" s="19"/>
      <c r="R64" s="19"/>
      <c r="S64" s="308"/>
      <c r="T64" s="477"/>
      <c r="U64" s="302"/>
      <c r="V64" s="242" t="str">
        <f>IFERROR(IF(D64="tonnes/yr", $S64*$E64/($N$9*3.6), $T64*$E64*3.6/($N$9*3.6)), "Unfilled fields to left")</f>
        <v>Unfilled fields to left</v>
      </c>
      <c r="X64" s="65"/>
    </row>
    <row r="65" spans="2:25" s="14" customFormat="1">
      <c r="B65" s="64"/>
      <c r="C65" s="15"/>
      <c r="D65" s="179"/>
      <c r="E65" s="35"/>
      <c r="F65" s="21"/>
      <c r="G65" s="21"/>
      <c r="H65" s="21"/>
      <c r="I65" s="21"/>
      <c r="J65" s="306"/>
      <c r="K65" s="306"/>
      <c r="L65" s="306"/>
      <c r="M65" s="306"/>
      <c r="N65" s="242">
        <f>IF($D65="MWh/yr (LHV)",$E65,$J65*$E65*(1-$L65)/Conversion_kWh_to_MJ)</f>
        <v>0</v>
      </c>
      <c r="O65" s="19"/>
      <c r="P65" s="19"/>
      <c r="Q65" s="19"/>
      <c r="R65" s="19"/>
      <c r="S65" s="308"/>
      <c r="T65" s="477"/>
      <c r="U65" s="302"/>
      <c r="V65" s="242" t="str">
        <f>IFERROR(IF(D65="tonnes/yr", $S65*$E65/($N$9*3.6), $T65*$E65*3.6/($N$9*3.6)), "Unfilled fields to left")</f>
        <v>Unfilled fields to left</v>
      </c>
      <c r="X65" s="65"/>
    </row>
    <row r="66" spans="2:25" s="14" customFormat="1">
      <c r="B66" s="68"/>
      <c r="C66" s="69"/>
      <c r="D66" s="69"/>
      <c r="E66" s="142"/>
      <c r="F66" s="70"/>
      <c r="G66" s="70"/>
      <c r="H66" s="71"/>
      <c r="I66" s="71"/>
      <c r="J66" s="73"/>
      <c r="K66" s="73"/>
      <c r="L66" s="73"/>
      <c r="M66" s="73"/>
      <c r="N66" s="73"/>
      <c r="O66" s="12"/>
      <c r="P66" s="12"/>
      <c r="Q66" s="12"/>
      <c r="R66" s="12"/>
      <c r="S66" s="73"/>
      <c r="T66" s="73"/>
      <c r="U66" s="73"/>
      <c r="V66" s="73"/>
      <c r="X66" s="70"/>
    </row>
    <row r="67" spans="2:25" s="14" customFormat="1" ht="16.5">
      <c r="B67" s="145" t="s">
        <v>131</v>
      </c>
      <c r="C67" s="154"/>
      <c r="D67" s="154"/>
      <c r="E67" s="505"/>
      <c r="F67" s="155"/>
      <c r="G67" s="155"/>
      <c r="H67" s="156"/>
      <c r="I67" s="157"/>
      <c r="J67" s="305"/>
      <c r="K67" s="476"/>
      <c r="L67" s="476"/>
      <c r="M67" s="476"/>
      <c r="N67" s="476"/>
      <c r="O67" s="158"/>
      <c r="P67" s="158"/>
      <c r="Q67" s="158"/>
      <c r="R67" s="158"/>
      <c r="S67" s="305"/>
      <c r="T67" s="476"/>
      <c r="U67" s="476"/>
      <c r="V67" s="153">
        <f>SUM(V68:V75)</f>
        <v>0</v>
      </c>
      <c r="X67" s="70"/>
    </row>
    <row r="68" spans="2:25" s="14" customFormat="1">
      <c r="B68" s="16" t="s">
        <v>1072</v>
      </c>
      <c r="C68" s="184" t="s">
        <v>1073</v>
      </c>
      <c r="D68" s="179" t="s">
        <v>459</v>
      </c>
      <c r="E68" s="35"/>
      <c r="F68" s="21"/>
      <c r="G68" s="21"/>
      <c r="H68" s="21"/>
      <c r="I68" s="21"/>
      <c r="J68" s="306"/>
      <c r="K68" s="306"/>
      <c r="L68" s="306"/>
      <c r="M68" s="306"/>
      <c r="N68" s="242">
        <f t="shared" ref="N68:N75" si="12">IF($D68="MWh/yr (LHV)",$E68,$J68*$E68*(1-$L68)/Conversion_kWh_to_MJ)</f>
        <v>0</v>
      </c>
      <c r="O68" s="12"/>
      <c r="P68" s="12"/>
      <c r="Q68" s="12"/>
      <c r="R68" s="12"/>
      <c r="S68" s="35">
        <v>28000</v>
      </c>
      <c r="T68" s="518"/>
      <c r="U68" s="35" t="s">
        <v>1059</v>
      </c>
      <c r="V68" s="242" t="str">
        <f t="shared" ref="V68:V75" si="13">IFERROR(IF(D68="tonnes/yr", $S68*$E68/($N$9*3.6), $T68*$E68*3.6/($N$9*3.6)), "Unfilled fields to left")</f>
        <v>Unfilled fields to left</v>
      </c>
      <c r="X68" s="21"/>
    </row>
    <row r="69" spans="2:25" s="14" customFormat="1">
      <c r="B69" s="64" t="s">
        <v>1074</v>
      </c>
      <c r="C69" s="184" t="s">
        <v>1075</v>
      </c>
      <c r="D69" s="179" t="s">
        <v>459</v>
      </c>
      <c r="E69" s="35"/>
      <c r="F69" s="65"/>
      <c r="G69" s="65"/>
      <c r="H69" s="66"/>
      <c r="I69" s="66"/>
      <c r="J69" s="308"/>
      <c r="K69" s="308"/>
      <c r="L69" s="308"/>
      <c r="M69" s="308"/>
      <c r="N69" s="242">
        <f t="shared" si="12"/>
        <v>0</v>
      </c>
      <c r="O69" s="19"/>
      <c r="P69" s="19"/>
      <c r="Q69" s="19"/>
      <c r="R69" s="19"/>
      <c r="S69" s="35">
        <v>265000</v>
      </c>
      <c r="T69" s="518"/>
      <c r="U69" s="483" t="s">
        <v>1059</v>
      </c>
      <c r="V69" s="242" t="str">
        <f t="shared" si="13"/>
        <v>Unfilled fields to left</v>
      </c>
      <c r="X69" s="65"/>
    </row>
    <row r="70" spans="2:25" s="14" customFormat="1">
      <c r="B70" s="64" t="s">
        <v>1076</v>
      </c>
      <c r="C70" s="184" t="s">
        <v>1077</v>
      </c>
      <c r="D70" s="179" t="s">
        <v>459</v>
      </c>
      <c r="E70" s="35"/>
      <c r="F70" s="65"/>
      <c r="G70" s="65"/>
      <c r="H70" s="66"/>
      <c r="I70" s="66"/>
      <c r="J70" s="308"/>
      <c r="K70" s="308"/>
      <c r="L70" s="308"/>
      <c r="M70" s="308"/>
      <c r="N70" s="242">
        <f t="shared" si="12"/>
        <v>0</v>
      </c>
      <c r="O70" s="19"/>
      <c r="P70" s="19"/>
      <c r="Q70" s="19"/>
      <c r="R70" s="19"/>
      <c r="S70" s="35">
        <v>23500000</v>
      </c>
      <c r="T70" s="518"/>
      <c r="U70" s="483" t="s">
        <v>1059</v>
      </c>
      <c r="V70" s="242" t="str">
        <f t="shared" si="13"/>
        <v>Unfilled fields to left</v>
      </c>
      <c r="X70" s="65"/>
    </row>
    <row r="71" spans="2:25" s="14" customFormat="1">
      <c r="B71" s="64" t="s">
        <v>1078</v>
      </c>
      <c r="C71" s="184" t="s">
        <v>1079</v>
      </c>
      <c r="D71" s="179" t="s">
        <v>459</v>
      </c>
      <c r="E71" s="35"/>
      <c r="F71" s="65"/>
      <c r="G71" s="65"/>
      <c r="H71" s="66"/>
      <c r="I71" s="66"/>
      <c r="J71" s="308"/>
      <c r="K71" s="308"/>
      <c r="L71" s="308"/>
      <c r="M71" s="308"/>
      <c r="N71" s="242">
        <f t="shared" si="12"/>
        <v>0</v>
      </c>
      <c r="O71" s="19"/>
      <c r="P71" s="19"/>
      <c r="Q71" s="19"/>
      <c r="R71" s="19"/>
      <c r="S71" s="519" t="s">
        <v>1080</v>
      </c>
      <c r="T71" s="518"/>
      <c r="U71" s="483"/>
      <c r="V71" s="242" t="str">
        <f t="shared" si="13"/>
        <v>Unfilled fields to left</v>
      </c>
      <c r="X71" s="65"/>
    </row>
    <row r="72" spans="2:25" s="14" customFormat="1">
      <c r="B72" s="64" t="s">
        <v>1078</v>
      </c>
      <c r="C72" s="184" t="s">
        <v>1079</v>
      </c>
      <c r="D72" s="179" t="s">
        <v>459</v>
      </c>
      <c r="E72" s="35"/>
      <c r="F72" s="65"/>
      <c r="G72" s="65"/>
      <c r="H72" s="66"/>
      <c r="I72" s="66"/>
      <c r="J72" s="308"/>
      <c r="K72" s="308"/>
      <c r="L72" s="308"/>
      <c r="M72" s="308"/>
      <c r="N72" s="242">
        <f t="shared" si="12"/>
        <v>0</v>
      </c>
      <c r="O72" s="19"/>
      <c r="P72" s="19"/>
      <c r="Q72" s="19"/>
      <c r="R72" s="19"/>
      <c r="S72" s="519" t="s">
        <v>1080</v>
      </c>
      <c r="T72" s="518"/>
      <c r="U72" s="483"/>
      <c r="V72" s="242" t="str">
        <f t="shared" si="13"/>
        <v>Unfilled fields to left</v>
      </c>
      <c r="X72" s="65"/>
    </row>
    <row r="73" spans="2:25" s="14" customFormat="1">
      <c r="B73" s="64" t="s">
        <v>1078</v>
      </c>
      <c r="C73" s="184" t="s">
        <v>1079</v>
      </c>
      <c r="D73" s="179" t="s">
        <v>459</v>
      </c>
      <c r="E73" s="35"/>
      <c r="F73" s="65"/>
      <c r="G73" s="65"/>
      <c r="H73" s="66"/>
      <c r="I73" s="66"/>
      <c r="J73" s="308"/>
      <c r="K73" s="308"/>
      <c r="L73" s="308"/>
      <c r="M73" s="308"/>
      <c r="N73" s="242">
        <f t="shared" si="12"/>
        <v>0</v>
      </c>
      <c r="O73" s="19"/>
      <c r="P73" s="19"/>
      <c r="Q73" s="19"/>
      <c r="R73" s="19"/>
      <c r="S73" s="519" t="s">
        <v>1080</v>
      </c>
      <c r="T73" s="518"/>
      <c r="U73" s="483"/>
      <c r="V73" s="242" t="str">
        <f t="shared" si="13"/>
        <v>Unfilled fields to left</v>
      </c>
      <c r="X73" s="65"/>
    </row>
    <row r="74" spans="2:25" s="14" customFormat="1">
      <c r="B74" s="64"/>
      <c r="C74" s="15"/>
      <c r="D74" s="180"/>
      <c r="E74" s="500"/>
      <c r="F74" s="65"/>
      <c r="G74" s="65"/>
      <c r="H74" s="66"/>
      <c r="I74" s="66"/>
      <c r="J74" s="308"/>
      <c r="K74" s="308"/>
      <c r="L74" s="308"/>
      <c r="M74" s="308"/>
      <c r="N74" s="242">
        <f t="shared" si="12"/>
        <v>0</v>
      </c>
      <c r="O74" s="19"/>
      <c r="P74" s="19"/>
      <c r="Q74" s="19"/>
      <c r="R74" s="19"/>
      <c r="S74" s="520"/>
      <c r="T74" s="477"/>
      <c r="U74" s="308"/>
      <c r="V74" s="242" t="str">
        <f t="shared" si="13"/>
        <v>Unfilled fields to left</v>
      </c>
      <c r="X74" s="65"/>
    </row>
    <row r="75" spans="2:25" s="14" customFormat="1">
      <c r="B75" s="64"/>
      <c r="C75" s="15"/>
      <c r="D75" s="180"/>
      <c r="E75" s="500"/>
      <c r="F75" s="65"/>
      <c r="G75" s="65"/>
      <c r="H75" s="66"/>
      <c r="I75" s="66"/>
      <c r="J75" s="308"/>
      <c r="K75" s="308"/>
      <c r="L75" s="308"/>
      <c r="M75" s="308"/>
      <c r="N75" s="242">
        <f t="shared" si="12"/>
        <v>0</v>
      </c>
      <c r="O75" s="19"/>
      <c r="P75" s="19"/>
      <c r="Q75" s="19"/>
      <c r="R75" s="19"/>
      <c r="S75" s="520"/>
      <c r="T75" s="477"/>
      <c r="U75" s="308"/>
      <c r="V75" s="242" t="str">
        <f t="shared" si="13"/>
        <v>Unfilled fields to left</v>
      </c>
      <c r="X75" s="65"/>
    </row>
    <row r="76" spans="2:25">
      <c r="C76" s="17"/>
      <c r="D76" s="17"/>
      <c r="E76" s="140"/>
      <c r="F76" s="17"/>
      <c r="H76" s="18"/>
      <c r="I76" s="18"/>
      <c r="J76" s="40"/>
      <c r="K76" s="40"/>
      <c r="L76" s="40"/>
      <c r="M76" s="40"/>
      <c r="N76" s="40"/>
      <c r="O76" s="12"/>
      <c r="S76" s="40"/>
      <c r="T76" s="40"/>
      <c r="U76" s="40"/>
      <c r="V76" s="40"/>
      <c r="Y76" s="12"/>
    </row>
    <row r="77" spans="2:25">
      <c r="E77" s="113"/>
      <c r="I77" s="12"/>
      <c r="J77" s="107"/>
      <c r="K77" s="107"/>
      <c r="L77" s="107"/>
      <c r="M77" s="107"/>
      <c r="N77" s="107"/>
      <c r="O77" s="12"/>
      <c r="S77" s="39"/>
      <c r="T77" s="39"/>
      <c r="U77" s="38" t="s">
        <v>1114</v>
      </c>
      <c r="V77" s="153">
        <f>IF(OR(COUNTIF(Initial_questions!$E$112,"Default"), COUNTIF(Initial_questions!$E$114:$E$115,"Default")),"Default data selected",SUM(V20,V33,V45,V52,V60,V67))</f>
        <v>0</v>
      </c>
      <c r="Y77" s="12"/>
    </row>
    <row r="78" spans="2:25">
      <c r="B78" s="145" t="s">
        <v>132</v>
      </c>
      <c r="C78" s="159"/>
      <c r="D78" s="159"/>
      <c r="E78" s="499"/>
      <c r="I78" s="12"/>
      <c r="J78" s="107"/>
      <c r="K78" s="107"/>
      <c r="L78" s="107"/>
      <c r="M78" s="107"/>
      <c r="N78" s="107"/>
      <c r="O78" s="12"/>
      <c r="S78" s="107"/>
      <c r="T78" s="107"/>
      <c r="U78" s="107"/>
      <c r="V78" s="12"/>
      <c r="Y78" s="12"/>
    </row>
    <row r="79" spans="2:25">
      <c r="B79" s="16" t="s">
        <v>1086</v>
      </c>
      <c r="C79" s="15" t="s">
        <v>1087</v>
      </c>
      <c r="D79" s="15" t="s">
        <v>1088</v>
      </c>
      <c r="E79" s="501"/>
      <c r="I79" s="12"/>
      <c r="J79" s="107"/>
      <c r="K79" s="107"/>
      <c r="L79" s="107"/>
      <c r="M79" s="107"/>
      <c r="N79" s="107"/>
      <c r="O79" s="12"/>
      <c r="S79" s="107"/>
      <c r="T79" s="107"/>
      <c r="U79" s="107"/>
      <c r="V79" s="12"/>
      <c r="X79" s="25"/>
      <c r="Y79" s="12"/>
    </row>
    <row r="80" spans="2:25">
      <c r="B80" s="16" t="s">
        <v>1091</v>
      </c>
      <c r="C80" s="15" t="s">
        <v>1136</v>
      </c>
      <c r="D80" s="15" t="s">
        <v>785</v>
      </c>
      <c r="E80" s="511">
        <f>Initial_questions!$E$102</f>
        <v>0</v>
      </c>
      <c r="G80" s="19"/>
      <c r="H80" s="12"/>
      <c r="I80" s="12"/>
      <c r="J80" s="107"/>
      <c r="K80" s="107"/>
      <c r="L80" s="107"/>
      <c r="M80" s="107"/>
      <c r="N80" s="107"/>
      <c r="O80" s="12"/>
      <c r="S80" s="107"/>
      <c r="T80" s="107"/>
      <c r="U80" s="107"/>
      <c r="V80" s="12"/>
      <c r="X80" s="25"/>
      <c r="Y80" s="12"/>
    </row>
    <row r="81" spans="2:25">
      <c r="B81" s="16"/>
      <c r="C81" s="15"/>
      <c r="D81" s="15"/>
      <c r="E81" s="511"/>
      <c r="H81" s="12"/>
      <c r="I81" s="12"/>
      <c r="J81" s="107"/>
      <c r="K81" s="107"/>
      <c r="L81" s="107"/>
      <c r="M81" s="107"/>
      <c r="N81" s="107"/>
      <c r="O81" s="12"/>
      <c r="S81" s="107"/>
      <c r="T81" s="107"/>
      <c r="U81" s="107"/>
      <c r="V81" s="12"/>
      <c r="X81" s="25"/>
      <c r="Y81" s="12"/>
    </row>
    <row r="82" spans="2:25">
      <c r="B82" s="16"/>
      <c r="C82" s="15"/>
      <c r="D82" s="15"/>
      <c r="E82" s="501"/>
      <c r="H82" s="12"/>
      <c r="I82" s="12"/>
      <c r="J82" s="107"/>
      <c r="K82" s="107"/>
      <c r="L82" s="107"/>
      <c r="M82" s="107"/>
      <c r="N82" s="107"/>
      <c r="O82" s="12"/>
      <c r="S82" s="39"/>
      <c r="T82" s="39"/>
      <c r="U82" s="39"/>
      <c r="X82" s="25"/>
    </row>
    <row r="83" spans="2:25">
      <c r="E83" s="113"/>
      <c r="H83" s="12"/>
      <c r="I83" s="12"/>
      <c r="J83" s="107"/>
      <c r="K83" s="107"/>
      <c r="L83" s="107"/>
      <c r="M83" s="107"/>
      <c r="N83" s="107"/>
      <c r="O83" s="12"/>
      <c r="S83" s="39"/>
      <c r="T83" s="39"/>
      <c r="U83" s="39"/>
    </row>
    <row r="84" spans="2:25">
      <c r="E84" s="113"/>
      <c r="J84" s="39"/>
      <c r="K84" s="39"/>
      <c r="L84" s="39"/>
      <c r="M84" s="39"/>
      <c r="S84" s="39"/>
      <c r="T84" s="39"/>
      <c r="U84" s="39"/>
    </row>
    <row r="85" spans="2:25">
      <c r="E85" s="113"/>
      <c r="J85" s="39"/>
      <c r="K85" s="39"/>
      <c r="L85" s="39"/>
      <c r="M85" s="39"/>
      <c r="S85" s="39"/>
      <c r="T85" s="39"/>
      <c r="U85" s="39"/>
    </row>
    <row r="86" spans="2:25">
      <c r="E86" s="113"/>
      <c r="J86" s="39"/>
      <c r="K86" s="39"/>
      <c r="L86" s="39"/>
      <c r="M86" s="39"/>
      <c r="S86" s="39"/>
      <c r="T86" s="39"/>
      <c r="U86" s="39"/>
    </row>
    <row r="87" spans="2:25">
      <c r="E87" s="113"/>
      <c r="J87" s="39"/>
      <c r="K87" s="39"/>
      <c r="L87" s="39"/>
      <c r="M87" s="39"/>
      <c r="S87" s="39"/>
      <c r="T87" s="39"/>
      <c r="U87" s="39"/>
    </row>
    <row r="88" spans="2:25">
      <c r="E88" s="113"/>
      <c r="J88" s="39"/>
      <c r="K88" s="39"/>
      <c r="L88" s="39"/>
      <c r="M88" s="39"/>
      <c r="S88" s="39"/>
      <c r="T88" s="39"/>
      <c r="U88" s="39"/>
    </row>
    <row r="89" spans="2:25">
      <c r="E89" s="113"/>
      <c r="J89" s="39"/>
      <c r="K89" s="39"/>
      <c r="L89" s="39"/>
      <c r="M89" s="39"/>
      <c r="S89" s="39"/>
      <c r="T89" s="39"/>
      <c r="U89" s="39"/>
    </row>
    <row r="90" spans="2:25">
      <c r="E90" s="113"/>
      <c r="J90" s="39"/>
      <c r="K90" s="39"/>
      <c r="L90" s="39"/>
      <c r="M90" s="39"/>
      <c r="S90" s="39"/>
      <c r="T90" s="39"/>
      <c r="U90" s="39"/>
    </row>
    <row r="91" spans="2:25">
      <c r="E91" s="113"/>
      <c r="J91" s="39"/>
      <c r="K91" s="39"/>
      <c r="L91" s="39"/>
      <c r="M91" s="39"/>
      <c r="S91" s="39"/>
      <c r="T91" s="39"/>
      <c r="U91" s="39"/>
    </row>
    <row r="92" spans="2:25">
      <c r="E92" s="113"/>
      <c r="J92" s="39"/>
      <c r="K92" s="39"/>
      <c r="L92" s="39"/>
      <c r="M92" s="39"/>
      <c r="S92" s="39"/>
      <c r="T92" s="39"/>
      <c r="U92" s="39"/>
    </row>
    <row r="93" spans="2:25">
      <c r="E93" s="113"/>
      <c r="J93" s="39"/>
      <c r="K93" s="39"/>
      <c r="L93" s="39"/>
      <c r="M93" s="39"/>
      <c r="S93" s="39"/>
      <c r="T93" s="39"/>
      <c r="U93" s="39"/>
    </row>
    <row r="94" spans="2:25">
      <c r="E94" s="113"/>
      <c r="J94" s="39"/>
      <c r="K94" s="39"/>
      <c r="L94" s="39"/>
      <c r="M94" s="39"/>
      <c r="S94" s="39"/>
      <c r="T94" s="39"/>
      <c r="U94" s="39"/>
    </row>
    <row r="95" spans="2:25">
      <c r="E95" s="113"/>
      <c r="J95" s="39"/>
      <c r="K95" s="39"/>
      <c r="L95" s="39"/>
      <c r="M95" s="39"/>
      <c r="S95" s="39"/>
      <c r="T95" s="39"/>
      <c r="U95" s="39"/>
    </row>
    <row r="96" spans="2:25">
      <c r="E96" s="113"/>
      <c r="J96" s="39"/>
      <c r="K96" s="39"/>
      <c r="L96" s="39"/>
      <c r="M96" s="39"/>
      <c r="S96" s="39"/>
      <c r="T96" s="39"/>
      <c r="U96" s="39"/>
    </row>
    <row r="97" spans="5:21">
      <c r="E97" s="113"/>
      <c r="J97" s="39"/>
      <c r="K97" s="39"/>
      <c r="L97" s="39"/>
      <c r="M97" s="39"/>
      <c r="S97" s="39"/>
      <c r="T97" s="39"/>
      <c r="U97" s="39"/>
    </row>
    <row r="98" spans="5:21">
      <c r="E98" s="113"/>
      <c r="J98" s="39"/>
      <c r="K98" s="39"/>
      <c r="L98" s="39"/>
      <c r="M98" s="39"/>
      <c r="S98" s="39"/>
      <c r="T98" s="39"/>
      <c r="U98" s="39"/>
    </row>
    <row r="99" spans="5:21">
      <c r="E99" s="113"/>
      <c r="J99" s="39"/>
      <c r="K99" s="39"/>
      <c r="L99" s="39"/>
      <c r="M99" s="39"/>
      <c r="S99" s="39"/>
      <c r="T99" s="39"/>
      <c r="U99" s="39"/>
    </row>
    <row r="100" spans="5:21">
      <c r="E100" s="113"/>
      <c r="J100" s="39"/>
      <c r="K100" s="39"/>
      <c r="L100" s="39"/>
      <c r="M100" s="39"/>
      <c r="S100" s="39"/>
      <c r="T100" s="39"/>
      <c r="U100" s="39"/>
    </row>
    <row r="101" spans="5:21">
      <c r="E101" s="113"/>
      <c r="J101" s="39"/>
      <c r="K101" s="39"/>
      <c r="L101" s="39"/>
      <c r="M101" s="39"/>
      <c r="S101" s="39"/>
      <c r="T101" s="39"/>
      <c r="U101" s="39"/>
    </row>
    <row r="102" spans="5:21">
      <c r="E102" s="113"/>
      <c r="J102" s="39"/>
      <c r="K102" s="39"/>
      <c r="L102" s="39"/>
      <c r="M102" s="39"/>
      <c r="S102" s="39"/>
      <c r="T102" s="39"/>
      <c r="U102" s="39"/>
    </row>
    <row r="103" spans="5:21">
      <c r="E103" s="113"/>
      <c r="J103" s="39"/>
      <c r="K103" s="39"/>
      <c r="L103" s="39"/>
      <c r="M103" s="39"/>
      <c r="S103" s="39"/>
      <c r="T103" s="39"/>
      <c r="U103" s="39"/>
    </row>
    <row r="104" spans="5:21">
      <c r="E104" s="113"/>
      <c r="J104" s="39"/>
      <c r="K104" s="39"/>
      <c r="L104" s="39"/>
      <c r="M104" s="39"/>
      <c r="S104" s="39"/>
      <c r="T104" s="39"/>
      <c r="U104" s="39"/>
    </row>
    <row r="105" spans="5:21">
      <c r="E105" s="113"/>
      <c r="J105" s="39"/>
      <c r="K105" s="39"/>
      <c r="L105" s="39"/>
      <c r="M105" s="39"/>
      <c r="S105" s="39"/>
      <c r="T105" s="39"/>
      <c r="U105" s="39"/>
    </row>
    <row r="106" spans="5:21">
      <c r="E106" s="113"/>
      <c r="J106" s="39"/>
      <c r="K106" s="39"/>
      <c r="L106" s="39"/>
      <c r="M106" s="39"/>
      <c r="S106" s="39"/>
      <c r="T106" s="39"/>
      <c r="U106" s="39"/>
    </row>
    <row r="107" spans="5:21">
      <c r="E107" s="113"/>
      <c r="J107" s="39"/>
      <c r="K107" s="39"/>
      <c r="L107" s="39"/>
      <c r="M107" s="39"/>
      <c r="S107" s="39"/>
      <c r="T107" s="39"/>
      <c r="U107" s="39"/>
    </row>
    <row r="108" spans="5:21">
      <c r="E108" s="113"/>
      <c r="J108" s="39"/>
      <c r="K108" s="39"/>
      <c r="L108" s="39"/>
      <c r="M108" s="39"/>
      <c r="S108" s="39"/>
      <c r="T108" s="39"/>
      <c r="U108" s="39"/>
    </row>
    <row r="109" spans="5:21">
      <c r="E109" s="113"/>
      <c r="J109" s="39"/>
      <c r="K109" s="39"/>
      <c r="L109" s="39"/>
      <c r="M109" s="39"/>
      <c r="S109" s="39"/>
      <c r="T109" s="39"/>
      <c r="U109" s="39"/>
    </row>
    <row r="110" spans="5:21">
      <c r="E110" s="113"/>
      <c r="J110" s="39"/>
      <c r="K110" s="39"/>
      <c r="L110" s="39"/>
      <c r="M110" s="39"/>
      <c r="S110" s="39"/>
      <c r="T110" s="39"/>
      <c r="U110" s="39"/>
    </row>
    <row r="111" spans="5:21">
      <c r="E111" s="113"/>
      <c r="J111" s="39"/>
      <c r="K111" s="39"/>
      <c r="L111" s="39"/>
      <c r="M111" s="39"/>
      <c r="S111" s="39"/>
      <c r="T111" s="39"/>
      <c r="U111" s="39"/>
    </row>
    <row r="112" spans="5:21">
      <c r="E112" s="113"/>
      <c r="J112" s="39"/>
      <c r="K112" s="39"/>
      <c r="L112" s="39"/>
      <c r="M112" s="39"/>
      <c r="S112" s="39"/>
      <c r="T112" s="39"/>
      <c r="U112" s="39"/>
    </row>
    <row r="113" spans="5:21">
      <c r="E113" s="113"/>
      <c r="J113" s="39"/>
      <c r="K113" s="39"/>
      <c r="L113" s="39"/>
      <c r="M113" s="39"/>
      <c r="S113" s="39"/>
      <c r="T113" s="39"/>
      <c r="U113" s="39"/>
    </row>
    <row r="114" spans="5:21">
      <c r="E114" s="113"/>
      <c r="J114" s="39"/>
      <c r="K114" s="39"/>
      <c r="L114" s="39"/>
      <c r="M114" s="39"/>
      <c r="S114" s="39"/>
      <c r="T114" s="39"/>
      <c r="U114" s="39"/>
    </row>
    <row r="115" spans="5:21">
      <c r="E115" s="113"/>
      <c r="J115" s="39"/>
      <c r="K115" s="39"/>
      <c r="L115" s="39"/>
      <c r="M115" s="39"/>
      <c r="S115" s="39"/>
      <c r="T115" s="39"/>
      <c r="U115" s="39"/>
    </row>
    <row r="116" spans="5:21">
      <c r="E116" s="113"/>
      <c r="J116" s="39"/>
      <c r="K116" s="39"/>
      <c r="L116" s="39"/>
      <c r="M116" s="39"/>
      <c r="S116" s="39"/>
      <c r="T116" s="39"/>
      <c r="U116" s="39"/>
    </row>
    <row r="117" spans="5:21">
      <c r="E117" s="113"/>
      <c r="J117" s="39"/>
      <c r="K117" s="39"/>
      <c r="L117" s="39"/>
      <c r="M117" s="39"/>
      <c r="S117" s="39"/>
      <c r="T117" s="39"/>
      <c r="U117" s="39"/>
    </row>
    <row r="118" spans="5:21">
      <c r="E118" s="113"/>
      <c r="J118" s="39"/>
      <c r="K118" s="39"/>
      <c r="L118" s="39"/>
      <c r="M118" s="39"/>
      <c r="S118" s="39"/>
      <c r="T118" s="39"/>
      <c r="U118" s="39"/>
    </row>
    <row r="119" spans="5:21">
      <c r="E119" s="113"/>
      <c r="J119" s="39"/>
      <c r="K119" s="39"/>
      <c r="L119" s="39"/>
      <c r="M119" s="39"/>
      <c r="S119" s="39"/>
      <c r="T119" s="39"/>
      <c r="U119" s="39"/>
    </row>
    <row r="120" spans="5:21">
      <c r="E120" s="113"/>
      <c r="J120" s="39"/>
      <c r="K120" s="39"/>
      <c r="L120" s="39"/>
      <c r="M120" s="39"/>
      <c r="S120" s="39"/>
      <c r="T120" s="39"/>
      <c r="U120" s="39"/>
    </row>
    <row r="121" spans="5:21">
      <c r="E121" s="113"/>
      <c r="J121" s="39"/>
      <c r="K121" s="39"/>
      <c r="L121" s="39"/>
      <c r="M121" s="39"/>
      <c r="S121" s="39"/>
      <c r="T121" s="39"/>
      <c r="U121" s="39"/>
    </row>
    <row r="122" spans="5:21">
      <c r="E122" s="113"/>
      <c r="J122" s="39"/>
      <c r="K122" s="39"/>
      <c r="L122" s="39"/>
      <c r="M122" s="39"/>
      <c r="S122" s="39"/>
      <c r="T122" s="39"/>
      <c r="U122" s="39"/>
    </row>
    <row r="123" spans="5:21">
      <c r="E123" s="113"/>
      <c r="S123" s="39"/>
      <c r="T123" s="39"/>
      <c r="U123" s="39"/>
    </row>
    <row r="124" spans="5:21">
      <c r="E124" s="113"/>
      <c r="S124" s="39"/>
      <c r="T124" s="39"/>
      <c r="U124" s="39"/>
    </row>
    <row r="125" spans="5:21">
      <c r="E125" s="113"/>
      <c r="S125" s="39"/>
      <c r="T125" s="39"/>
      <c r="U125" s="39"/>
    </row>
    <row r="126" spans="5:21">
      <c r="E126" s="113"/>
      <c r="S126" s="39"/>
      <c r="T126" s="39"/>
      <c r="U126" s="39"/>
    </row>
    <row r="127" spans="5:21">
      <c r="E127" s="113"/>
      <c r="S127" s="39"/>
      <c r="T127" s="39"/>
      <c r="U127" s="39"/>
    </row>
    <row r="128" spans="5:21">
      <c r="E128" s="113"/>
      <c r="S128" s="39"/>
      <c r="T128" s="39"/>
      <c r="U128" s="39"/>
    </row>
    <row r="129" spans="5:21">
      <c r="E129" s="113"/>
      <c r="S129" s="39"/>
      <c r="T129" s="39"/>
      <c r="U129" s="39"/>
    </row>
    <row r="130" spans="5:21">
      <c r="E130" s="113"/>
      <c r="S130" s="39"/>
      <c r="T130" s="39"/>
      <c r="U130" s="39"/>
    </row>
    <row r="131" spans="5:21">
      <c r="E131" s="113"/>
      <c r="S131" s="39"/>
      <c r="T131" s="39"/>
      <c r="U131" s="39"/>
    </row>
    <row r="132" spans="5:21">
      <c r="E132" s="113"/>
      <c r="S132" s="39"/>
      <c r="T132" s="39"/>
      <c r="U132" s="39"/>
    </row>
    <row r="133" spans="5:21">
      <c r="E133" s="113"/>
      <c r="S133" s="39"/>
      <c r="T133" s="39"/>
      <c r="U133" s="39"/>
    </row>
    <row r="134" spans="5:21">
      <c r="E134" s="113"/>
      <c r="S134" s="39"/>
      <c r="T134" s="39"/>
      <c r="U134" s="39"/>
    </row>
    <row r="135" spans="5:21">
      <c r="E135" s="113"/>
      <c r="S135" s="39"/>
      <c r="T135" s="39"/>
      <c r="U135" s="39"/>
    </row>
    <row r="136" spans="5:21">
      <c r="E136" s="113"/>
      <c r="S136" s="39"/>
      <c r="T136" s="39"/>
      <c r="U136" s="39"/>
    </row>
    <row r="137" spans="5:21">
      <c r="E137" s="113"/>
      <c r="S137" s="39"/>
      <c r="T137" s="39"/>
      <c r="U137" s="39"/>
    </row>
    <row r="138" spans="5:21">
      <c r="E138" s="113"/>
      <c r="S138" s="39"/>
      <c r="T138" s="39"/>
      <c r="U138" s="39"/>
    </row>
    <row r="139" spans="5:21">
      <c r="E139" s="113"/>
      <c r="S139" s="39"/>
      <c r="T139" s="39"/>
      <c r="U139" s="39"/>
    </row>
    <row r="140" spans="5:21">
      <c r="E140" s="113"/>
      <c r="S140" s="39"/>
      <c r="T140" s="39"/>
      <c r="U140" s="39"/>
    </row>
    <row r="141" spans="5:21">
      <c r="E141" s="113"/>
      <c r="S141" s="39"/>
      <c r="T141" s="39"/>
      <c r="U141" s="39"/>
    </row>
    <row r="142" spans="5:21">
      <c r="E142" s="113"/>
      <c r="S142" s="39"/>
      <c r="T142" s="39"/>
      <c r="U142" s="39"/>
    </row>
    <row r="143" spans="5:21">
      <c r="E143" s="113"/>
      <c r="S143" s="39"/>
      <c r="T143" s="39"/>
      <c r="U143" s="39"/>
    </row>
    <row r="144" spans="5:21">
      <c r="E144" s="113"/>
      <c r="S144" s="39"/>
      <c r="T144" s="39"/>
      <c r="U144" s="39"/>
    </row>
    <row r="145" spans="5:21">
      <c r="E145" s="113"/>
      <c r="S145" s="39"/>
      <c r="T145" s="39"/>
      <c r="U145" s="39"/>
    </row>
    <row r="146" spans="5:21">
      <c r="E146" s="113"/>
      <c r="S146" s="39"/>
      <c r="T146" s="39"/>
      <c r="U146" s="39"/>
    </row>
    <row r="147" spans="5:21">
      <c r="E147" s="113"/>
      <c r="S147" s="39"/>
      <c r="T147" s="39"/>
      <c r="U147" s="39"/>
    </row>
    <row r="148" spans="5:21">
      <c r="E148" s="256"/>
      <c r="S148" s="39"/>
      <c r="T148" s="39"/>
      <c r="U148" s="39"/>
    </row>
    <row r="149" spans="5:21">
      <c r="E149" s="256"/>
      <c r="S149" s="39"/>
      <c r="T149" s="39"/>
      <c r="U149" s="39"/>
    </row>
    <row r="150" spans="5:21">
      <c r="E150" s="256"/>
      <c r="S150" s="39"/>
      <c r="T150" s="39"/>
      <c r="U150" s="39"/>
    </row>
    <row r="151" spans="5:21">
      <c r="E151" s="256"/>
      <c r="S151" s="39"/>
      <c r="T151" s="39"/>
      <c r="U151" s="39"/>
    </row>
    <row r="152" spans="5:21">
      <c r="E152" s="256"/>
      <c r="S152" s="39"/>
      <c r="T152" s="39"/>
      <c r="U152" s="39"/>
    </row>
    <row r="153" spans="5:21">
      <c r="E153" s="256"/>
      <c r="S153" s="39"/>
      <c r="T153" s="39"/>
      <c r="U153" s="39"/>
    </row>
    <row r="154" spans="5:21">
      <c r="E154" s="256"/>
      <c r="S154" s="39"/>
      <c r="T154" s="39"/>
      <c r="U154" s="39"/>
    </row>
    <row r="155" spans="5:21">
      <c r="E155" s="256"/>
      <c r="S155" s="39"/>
      <c r="T155" s="39"/>
      <c r="U155" s="39"/>
    </row>
    <row r="156" spans="5:21">
      <c r="E156" s="256"/>
      <c r="S156" s="39"/>
      <c r="T156" s="39"/>
      <c r="U156" s="39"/>
    </row>
    <row r="157" spans="5:21">
      <c r="E157" s="256"/>
      <c r="S157" s="39"/>
      <c r="T157" s="39"/>
      <c r="U157" s="39"/>
    </row>
    <row r="158" spans="5:21">
      <c r="E158" s="256"/>
      <c r="S158" s="39"/>
      <c r="T158" s="39"/>
      <c r="U158" s="39"/>
    </row>
    <row r="159" spans="5:21">
      <c r="E159" s="256"/>
      <c r="S159" s="39"/>
      <c r="T159" s="39"/>
      <c r="U159" s="39"/>
    </row>
    <row r="160" spans="5:21">
      <c r="E160" s="256"/>
      <c r="S160" s="39"/>
      <c r="T160" s="39"/>
      <c r="U160" s="39"/>
    </row>
    <row r="161" spans="5:21">
      <c r="E161" s="256"/>
      <c r="S161" s="39"/>
      <c r="T161" s="39"/>
      <c r="U161" s="39"/>
    </row>
    <row r="162" spans="5:21">
      <c r="E162" s="256"/>
      <c r="S162" s="39"/>
      <c r="T162" s="39"/>
      <c r="U162" s="39"/>
    </row>
    <row r="163" spans="5:21">
      <c r="E163" s="256"/>
      <c r="S163" s="39"/>
      <c r="T163" s="39"/>
      <c r="U163" s="39"/>
    </row>
    <row r="164" spans="5:21">
      <c r="E164" s="256"/>
      <c r="S164" s="39"/>
      <c r="T164" s="39"/>
      <c r="U164" s="39"/>
    </row>
    <row r="165" spans="5:21">
      <c r="E165" s="256"/>
      <c r="S165" s="39"/>
      <c r="T165" s="39"/>
      <c r="U165" s="39"/>
    </row>
    <row r="166" spans="5:21">
      <c r="E166" s="256"/>
      <c r="S166" s="39"/>
      <c r="T166" s="39"/>
      <c r="U166" s="39"/>
    </row>
    <row r="167" spans="5:21">
      <c r="E167" s="256"/>
      <c r="S167" s="39"/>
      <c r="T167" s="39"/>
      <c r="U167" s="39"/>
    </row>
    <row r="168" spans="5:21">
      <c r="E168" s="256"/>
      <c r="S168" s="39"/>
      <c r="T168" s="39"/>
      <c r="U168" s="39"/>
    </row>
    <row r="169" spans="5:21">
      <c r="E169" s="256"/>
      <c r="S169" s="39"/>
      <c r="T169" s="39"/>
      <c r="U169" s="39"/>
    </row>
    <row r="170" spans="5:21">
      <c r="E170" s="256"/>
      <c r="S170" s="39"/>
      <c r="T170" s="39"/>
      <c r="U170" s="39"/>
    </row>
    <row r="171" spans="5:21">
      <c r="E171" s="256"/>
      <c r="S171" s="39"/>
      <c r="T171" s="39"/>
      <c r="U171" s="39"/>
    </row>
    <row r="172" spans="5:21">
      <c r="E172" s="256"/>
      <c r="S172" s="39"/>
      <c r="T172" s="39"/>
      <c r="U172" s="39"/>
    </row>
    <row r="173" spans="5:21">
      <c r="E173" s="256"/>
      <c r="S173" s="39"/>
      <c r="T173" s="39"/>
      <c r="U173" s="39"/>
    </row>
    <row r="174" spans="5:21">
      <c r="E174" s="256"/>
      <c r="S174" s="39"/>
      <c r="T174" s="39"/>
      <c r="U174" s="39"/>
    </row>
    <row r="175" spans="5:21">
      <c r="E175" s="256"/>
      <c r="S175" s="39"/>
      <c r="T175" s="39"/>
      <c r="U175" s="39"/>
    </row>
    <row r="176" spans="5:21">
      <c r="E176" s="256"/>
      <c r="S176" s="39"/>
      <c r="T176" s="39"/>
      <c r="U176" s="39"/>
    </row>
    <row r="177" spans="5:21">
      <c r="E177" s="256"/>
      <c r="S177" s="39"/>
      <c r="T177" s="39"/>
      <c r="U177" s="39"/>
    </row>
    <row r="178" spans="5:21">
      <c r="E178" s="256"/>
      <c r="S178" s="39"/>
      <c r="T178" s="39"/>
      <c r="U178" s="39"/>
    </row>
    <row r="179" spans="5:21">
      <c r="E179" s="256"/>
      <c r="S179" s="39"/>
      <c r="T179" s="39"/>
      <c r="U179" s="39"/>
    </row>
    <row r="180" spans="5:21">
      <c r="E180" s="256"/>
      <c r="S180" s="39"/>
      <c r="T180" s="39"/>
      <c r="U180" s="39"/>
    </row>
    <row r="181" spans="5:21">
      <c r="E181" s="256"/>
      <c r="S181" s="39"/>
      <c r="T181" s="39"/>
      <c r="U181" s="39"/>
    </row>
    <row r="182" spans="5:21">
      <c r="E182" s="256"/>
      <c r="S182" s="39"/>
      <c r="T182" s="39"/>
      <c r="U182" s="39"/>
    </row>
    <row r="183" spans="5:21">
      <c r="E183" s="256"/>
      <c r="S183" s="39"/>
      <c r="T183" s="39"/>
      <c r="U183" s="39"/>
    </row>
    <row r="184" spans="5:21">
      <c r="E184" s="256"/>
      <c r="S184" s="39"/>
      <c r="T184" s="39"/>
      <c r="U184" s="39"/>
    </row>
    <row r="185" spans="5:21">
      <c r="E185" s="256"/>
      <c r="S185" s="39"/>
      <c r="T185" s="39"/>
      <c r="U185" s="39"/>
    </row>
    <row r="186" spans="5:21">
      <c r="E186" s="256"/>
      <c r="S186" s="39"/>
      <c r="T186" s="39"/>
      <c r="U186" s="39"/>
    </row>
    <row r="187" spans="5:21">
      <c r="E187" s="256"/>
      <c r="S187" s="39"/>
      <c r="T187" s="39"/>
      <c r="U187" s="39"/>
    </row>
    <row r="188" spans="5:21">
      <c r="E188" s="256"/>
      <c r="S188" s="39"/>
      <c r="T188" s="39"/>
      <c r="U188" s="39"/>
    </row>
    <row r="189" spans="5:21">
      <c r="E189" s="256"/>
      <c r="S189" s="39"/>
      <c r="T189" s="39"/>
      <c r="U189" s="39"/>
    </row>
    <row r="190" spans="5:21">
      <c r="E190" s="256"/>
    </row>
    <row r="191" spans="5:21">
      <c r="E191" s="256"/>
    </row>
    <row r="192" spans="5:21">
      <c r="E192" s="256"/>
    </row>
    <row r="193" spans="5:5">
      <c r="E193" s="256"/>
    </row>
    <row r="194" spans="5:5">
      <c r="E194" s="256"/>
    </row>
    <row r="195" spans="5:5">
      <c r="E195" s="256"/>
    </row>
    <row r="196" spans="5:5">
      <c r="E196" s="256"/>
    </row>
    <row r="197" spans="5:5">
      <c r="E197" s="256"/>
    </row>
    <row r="198" spans="5:5">
      <c r="E198" s="256"/>
    </row>
    <row r="199" spans="5:5">
      <c r="E199" s="256"/>
    </row>
    <row r="200" spans="5:5">
      <c r="E200" s="256"/>
    </row>
    <row r="201" spans="5:5">
      <c r="E201" s="256"/>
    </row>
    <row r="202" spans="5:5">
      <c r="E202" s="256"/>
    </row>
    <row r="203" spans="5:5">
      <c r="E203" s="256"/>
    </row>
    <row r="204" spans="5:5">
      <c r="E204" s="256"/>
    </row>
    <row r="205" spans="5:5">
      <c r="E205" s="256"/>
    </row>
    <row r="206" spans="5:5">
      <c r="E206" s="256"/>
    </row>
    <row r="207" spans="5:5">
      <c r="E207" s="256"/>
    </row>
    <row r="208" spans="5:5">
      <c r="E208" s="256"/>
    </row>
    <row r="209" spans="5:5">
      <c r="E209" s="256"/>
    </row>
    <row r="210" spans="5:5">
      <c r="E210" s="256"/>
    </row>
    <row r="211" spans="5:5">
      <c r="E211" s="256"/>
    </row>
    <row r="212" spans="5:5">
      <c r="E212" s="256"/>
    </row>
    <row r="213" spans="5:5">
      <c r="E213" s="256"/>
    </row>
    <row r="214" spans="5:5">
      <c r="E214" s="256"/>
    </row>
    <row r="215" spans="5:5">
      <c r="E215" s="256"/>
    </row>
    <row r="216" spans="5:5">
      <c r="E216" s="256"/>
    </row>
    <row r="217" spans="5:5">
      <c r="E217" s="256"/>
    </row>
    <row r="218" spans="5:5">
      <c r="E218" s="256"/>
    </row>
    <row r="219" spans="5:5">
      <c r="E219" s="256"/>
    </row>
    <row r="220" spans="5:5">
      <c r="E220" s="256"/>
    </row>
    <row r="221" spans="5:5">
      <c r="E221" s="256"/>
    </row>
    <row r="222" spans="5:5">
      <c r="E222" s="256"/>
    </row>
    <row r="223" spans="5:5">
      <c r="E223" s="256"/>
    </row>
    <row r="224" spans="5:5">
      <c r="E224" s="256"/>
    </row>
    <row r="225" spans="5:5">
      <c r="E225" s="256"/>
    </row>
    <row r="226" spans="5:5">
      <c r="E226" s="256"/>
    </row>
    <row r="227" spans="5:5">
      <c r="E227" s="256"/>
    </row>
    <row r="228" spans="5:5">
      <c r="E228" s="256"/>
    </row>
    <row r="229" spans="5:5">
      <c r="E229" s="256"/>
    </row>
    <row r="230" spans="5:5">
      <c r="E230" s="256"/>
    </row>
    <row r="231" spans="5:5">
      <c r="E231" s="256"/>
    </row>
    <row r="232" spans="5:5">
      <c r="E232" s="256"/>
    </row>
    <row r="233" spans="5:5">
      <c r="E233" s="256"/>
    </row>
    <row r="234" spans="5:5">
      <c r="E234" s="256"/>
    </row>
    <row r="235" spans="5:5">
      <c r="E235" s="256"/>
    </row>
    <row r="236" spans="5:5">
      <c r="E236" s="256"/>
    </row>
    <row r="237" spans="5:5">
      <c r="E237" s="256"/>
    </row>
    <row r="238" spans="5:5">
      <c r="E238" s="256"/>
    </row>
    <row r="239" spans="5:5">
      <c r="E239" s="256"/>
    </row>
    <row r="240" spans="5:5">
      <c r="E240" s="256"/>
    </row>
    <row r="241" spans="5:5">
      <c r="E241" s="256"/>
    </row>
    <row r="242" spans="5:5">
      <c r="E242" s="256"/>
    </row>
    <row r="243" spans="5:5">
      <c r="E243" s="256"/>
    </row>
    <row r="244" spans="5:5">
      <c r="E244" s="256"/>
    </row>
    <row r="245" spans="5:5">
      <c r="E245" s="256"/>
    </row>
    <row r="246" spans="5:5">
      <c r="E246" s="256"/>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P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P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34:D43 D53:D58 D68:D75 D46:D51 D61:D65 D21:D30 D8 D10:D17" xr:uid="{F7C261C2-F8EE-4682-9FB4-6E7BE9670080}">
      <formula1>Flow_units</formula1>
    </dataValidation>
    <dataValidation type="custom" allowBlank="1" showInputMessage="1" showErrorMessage="1" error="Please do not change this formula" prompt="Please do not change this formula" sqref="V1:V4 W4 O6:Q1048576 V6:V1048576 R6:R8 R14:R1048576 N1:N1048576 O1:R4 S5:V5" xr:uid="{03A18783-B640-4366-9577-A519B7EFF4B4}">
      <formula1>"Please do not change this formula"</formula1>
    </dataValidation>
    <dataValidation type="custom" allowBlank="1" showInputMessage="1" showErrorMessage="1" error="Please do not change" sqref="R9:R13" xr:uid="{CA850ADD-AF26-429E-B894-833C773000AB}">
      <formula1>"Please do not change"</formula1>
    </dataValidation>
    <dataValidation type="custom" allowBlank="1" showInputMessage="1" showErrorMessage="1" error="Please do not change this formula" sqref="O5:R5" xr:uid="{9F00DC41-88F8-40F0-9924-2C3C2477AD6E}">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59 S68:T76" xr:uid="{4519C48E-40EB-4C40-81D4-291EBB33FC5B}">
      <formula1>0</formula1>
    </dataValidation>
  </dataValidations>
  <hyperlinks>
    <hyperlink ref="I2:J2" location="GHG_BIOMETHANE_REFORM!A1" display="Go to the summary tab of this pathway" xr:uid="{2D856E90-EBF0-490C-BF88-3621FA8EE73A}"/>
  </hyperlinks>
  <pageMargins left="0" right="0" top="0" bottom="0" header="0" footer="0"/>
  <pageSetup paperSize="9" orientation="portrait" r:id="rId10"/>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47" id="{00000000-000E-0000-2900-00002F000000}">
            <xm:f>AND(Path&lt;&gt;Units!$B$131,Path&lt;&gt;Units!$B$132,Path&lt;&gt;Units!$B$133,Path&lt;&gt;Units!$B$134,Master_Switch="On")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52" id="{F43779FB-3418-432C-B4CB-9C0999CC129F}">
            <xm:f>AND(GHG_BIOMETHANE_REFORM!$D$9="Default",Master_Switch="On")</xm:f>
            <x14:dxf>
              <font>
                <color theme="0"/>
              </font>
              <fill>
                <patternFill>
                  <bgColor theme="0"/>
                </patternFill>
              </fill>
              <border>
                <left/>
                <right/>
                <top/>
                <bottom/>
              </border>
            </x14:dxf>
          </x14:cfRule>
          <xm:sqref>A21:XFD30</xm:sqref>
        </x14:conditionalFormatting>
        <x14:conditionalFormatting xmlns:xm="http://schemas.microsoft.com/office/excel/2006/main">
          <x14:cfRule type="expression" priority="51" id="{7FDE2F77-C3D2-44A4-896C-A44E2D0C13B4}">
            <xm:f>AND(GHG_BIOMETHANE_REFORM!$D$10="Default",Master_Switch="On")</xm:f>
            <x14:dxf>
              <font>
                <color theme="0"/>
              </font>
              <fill>
                <patternFill>
                  <bgColor theme="0"/>
                </patternFill>
              </fill>
              <border>
                <left/>
                <right/>
                <top/>
                <bottom/>
              </border>
            </x14:dxf>
          </x14:cfRule>
          <xm:sqref>A34:XFD43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3C95CF71-13ED-40BB-B998-64F4F3C512FF}">
          <x14:formula1>
            <xm:f>Units!$Z$120</xm:f>
          </x14:formula1>
          <xm:sqref>D9</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37C87-1CC7-4868-9384-B48655036424}">
  <sheetPr codeName="Sheet47">
    <tabColor rgb="FFCCFF66"/>
  </sheetPr>
  <dimension ref="A1:AC190"/>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7.26953125" style="12" customWidth="1"/>
    <col min="5" max="5" width="16.453125" style="55"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18.26953125" customWidth="1"/>
    <col min="16" max="16" width="7.1796875" style="12" customWidth="1"/>
    <col min="17" max="17" width="18.81640625" style="12" customWidth="1"/>
    <col min="18" max="18" width="17.54296875" style="12" customWidth="1"/>
    <col min="19" max="20" width="20.7265625" style="13" customWidth="1"/>
    <col min="21" max="21" width="22.7265625" style="13" customWidth="1"/>
    <col min="22" max="22" width="20.26953125" style="39" customWidth="1"/>
    <col min="23" max="23" width="7.1796875" style="12" customWidth="1"/>
    <col min="24" max="24" width="26" style="12" customWidth="1"/>
    <col min="26" max="16384" width="7.1796875" style="12"/>
  </cols>
  <sheetData>
    <row r="1" spans="1:29" ht="31.9" customHeight="1">
      <c r="A1" s="80" t="str">
        <f>IF(AND(Path&lt;&gt;Units!$B$135,Path&lt;&gt;Units!$B$136,Master_Switch="On"),"User should not fill in this sheet, but switch to other non-blank GHG worksheets","")</f>
        <v>User should not fill in this sheet, but switch to other non-blank GHG worksheets</v>
      </c>
      <c r="E1" s="256"/>
    </row>
    <row r="2" spans="1:29" ht="20.5" customHeight="1">
      <c r="B2" s="80" t="str">
        <f>IF(AND(Initial_questions!$E$68&lt;&gt;"Cereals and other starch-rich crops", Initial_questions!$E$68&lt;&gt;"Sugar crops", Initial_questions!$E$68&lt;&gt;"Oil crops", Initial_questions!$E$68&lt;&gt;"Other crop/purpose grown feedstock",Master_Switch="On"),"Not a purpose-grown feedstock, move to the next step of the pathway","")</f>
        <v>Not a purpose-grown feedstock, move to the next step of the pathway</v>
      </c>
      <c r="E2" s="256"/>
      <c r="I2" s="729" t="s">
        <v>1093</v>
      </c>
      <c r="J2" s="731"/>
      <c r="K2" s="732"/>
    </row>
    <row r="3" spans="1:29" ht="15" customHeight="1">
      <c r="E3" s="256"/>
    </row>
    <row r="4" spans="1:29" ht="15.65" customHeight="1" thickBot="1">
      <c r="B4" s="3"/>
      <c r="C4" s="3"/>
      <c r="D4" s="3"/>
      <c r="E4" s="455"/>
      <c r="F4" s="3"/>
      <c r="G4" s="3"/>
      <c r="H4" s="1"/>
      <c r="I4" s="1"/>
      <c r="J4" s="1"/>
      <c r="K4" s="1"/>
      <c r="L4" s="1"/>
      <c r="M4" s="1"/>
      <c r="N4" s="37"/>
      <c r="O4" s="1"/>
      <c r="P4" s="3"/>
      <c r="Q4" s="3"/>
      <c r="R4" s="3"/>
      <c r="S4" s="1"/>
      <c r="T4" s="1"/>
      <c r="U4" s="1"/>
      <c r="V4" s="37"/>
      <c r="W4" s="37"/>
      <c r="X4" s="3"/>
    </row>
    <row r="5" spans="1:29"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9" ht="15" thickTop="1">
      <c r="E6" s="457"/>
      <c r="R6"/>
      <c r="S6"/>
      <c r="T6"/>
      <c r="U6"/>
      <c r="V6"/>
    </row>
    <row r="7" spans="1:29">
      <c r="B7" s="145" t="s">
        <v>1097</v>
      </c>
      <c r="C7" s="145"/>
      <c r="D7" s="145"/>
      <c r="E7" s="324"/>
      <c r="F7" s="145"/>
      <c r="G7" s="145"/>
      <c r="H7" s="145"/>
      <c r="I7" s="145"/>
      <c r="J7" s="145"/>
      <c r="K7" s="145"/>
      <c r="L7" s="145"/>
      <c r="M7" s="145"/>
      <c r="N7" s="301"/>
      <c r="R7"/>
      <c r="S7"/>
      <c r="T7"/>
      <c r="U7"/>
      <c r="V7"/>
      <c r="W7" s="19"/>
      <c r="X7" s="19"/>
      <c r="Y7" s="19"/>
      <c r="Z7" s="19"/>
      <c r="AA7" s="19"/>
      <c r="AB7" s="19"/>
      <c r="AC7" s="19"/>
    </row>
    <row r="8" spans="1:29">
      <c r="B8" s="186" t="s">
        <v>1021</v>
      </c>
      <c r="C8" s="15"/>
      <c r="D8" s="179"/>
      <c r="E8" s="35"/>
      <c r="F8" s="24"/>
      <c r="G8" s="21"/>
      <c r="H8" s="20"/>
      <c r="I8" s="36"/>
      <c r="J8" s="300"/>
      <c r="K8" s="302"/>
      <c r="L8" s="302"/>
      <c r="M8" s="302"/>
      <c r="N8" s="242">
        <f t="shared" ref="N8:N17" si="0">IF($D8="MWh/yr (LHV)",$E8,$J8*$E8*(1-$L8)/Conversion_kWh_to_MJ)</f>
        <v>0</v>
      </c>
      <c r="O8" s="12"/>
      <c r="S8" s="302"/>
      <c r="T8" s="300"/>
      <c r="U8" s="302"/>
      <c r="V8" s="242" t="str">
        <f t="shared" ref="V8:V17" si="1">IFERROR(IF(D8="tonnes/yr", $S8*$E8/($N$20*3.6), $T8*$E8*3.6/($N$20*3.6)), "Unfilled fields to left")</f>
        <v>Unfilled fields to left</v>
      </c>
      <c r="X8" s="25"/>
      <c r="Y8" s="12"/>
    </row>
    <row r="9" spans="1:29">
      <c r="B9" s="186" t="s">
        <v>1021</v>
      </c>
      <c r="C9" s="184" t="s">
        <v>1098</v>
      </c>
      <c r="D9" s="179" t="s">
        <v>479</v>
      </c>
      <c r="E9" s="35"/>
      <c r="F9" s="24"/>
      <c r="G9" s="21"/>
      <c r="H9" s="20"/>
      <c r="I9" s="36"/>
      <c r="J9" s="300"/>
      <c r="K9" s="302"/>
      <c r="L9" s="302"/>
      <c r="M9" s="302"/>
      <c r="N9" s="242">
        <f t="shared" si="0"/>
        <v>0</v>
      </c>
      <c r="O9" s="12"/>
      <c r="S9" s="35" t="str">
        <f t="shared" ref="S9:S17" si="2">IF(B9="", "", IF(D9="MWh/yr (LHV)", "Use column to right", "Enter data here"))</f>
        <v>Use column to right</v>
      </c>
      <c r="T9" s="35" t="e">
        <f>INDEX(Proj_grid_intensity_kWh,MATCH(Operations_year,Proj_grid_year,0))/Conversion_kWh_to_MJ</f>
        <v>#N/A</v>
      </c>
      <c r="U9" s="35" t="s">
        <v>1064</v>
      </c>
      <c r="V9" s="242" t="str">
        <f t="shared" si="1"/>
        <v>Unfilled fields to left</v>
      </c>
      <c r="X9" s="25"/>
      <c r="Y9" s="12"/>
    </row>
    <row r="10" spans="1:29">
      <c r="B10" s="186" t="s">
        <v>1042</v>
      </c>
      <c r="C10" s="184" t="s">
        <v>1043</v>
      </c>
      <c r="D10" s="179" t="s">
        <v>459</v>
      </c>
      <c r="E10" s="35"/>
      <c r="F10" s="24"/>
      <c r="G10" s="21"/>
      <c r="H10" s="20"/>
      <c r="I10" s="36"/>
      <c r="J10" s="300"/>
      <c r="K10" s="302"/>
      <c r="L10" s="302"/>
      <c r="M10" s="302"/>
      <c r="N10" s="242">
        <f t="shared" si="0"/>
        <v>0</v>
      </c>
      <c r="O10" s="12"/>
      <c r="S10" s="35" t="str">
        <f t="shared" si="2"/>
        <v>Enter data here</v>
      </c>
      <c r="T10" s="35" t="str">
        <f t="shared" ref="T10:T17" si="3">IF(B10="", "", IF(D10="MWh/yr (LHV)", "Enter data here", "Use column to left"))</f>
        <v>Use column to left</v>
      </c>
      <c r="U10" s="35" t="s">
        <v>1100</v>
      </c>
      <c r="V10" s="242" t="str">
        <f t="shared" si="1"/>
        <v>Unfilled fields to left</v>
      </c>
      <c r="W10" s="91"/>
      <c r="X10" s="25"/>
      <c r="Y10" s="12"/>
    </row>
    <row r="11" spans="1:29">
      <c r="B11" s="186" t="s">
        <v>1042</v>
      </c>
      <c r="C11" s="184" t="s">
        <v>1045</v>
      </c>
      <c r="D11" s="179" t="s">
        <v>459</v>
      </c>
      <c r="E11" s="35"/>
      <c r="F11" s="21"/>
      <c r="G11" s="21"/>
      <c r="H11" s="20"/>
      <c r="I11" s="36"/>
      <c r="J11" s="300"/>
      <c r="K11" s="302"/>
      <c r="L11" s="302"/>
      <c r="M11" s="302"/>
      <c r="N11" s="242">
        <f t="shared" si="0"/>
        <v>0</v>
      </c>
      <c r="O11" s="12"/>
      <c r="S11" s="35" t="str">
        <f t="shared" si="2"/>
        <v>Enter data here</v>
      </c>
      <c r="T11" s="35" t="str">
        <f t="shared" si="3"/>
        <v>Use column to left</v>
      </c>
      <c r="U11" s="35" t="s">
        <v>1100</v>
      </c>
      <c r="V11" s="242" t="str">
        <f t="shared" si="1"/>
        <v>Unfilled fields to left</v>
      </c>
      <c r="X11" s="25"/>
      <c r="Y11" s="12"/>
    </row>
    <row r="12" spans="1:29">
      <c r="B12" s="186" t="s">
        <v>1051</v>
      </c>
      <c r="C12" s="184" t="s">
        <v>1010</v>
      </c>
      <c r="D12" s="179" t="s">
        <v>459</v>
      </c>
      <c r="E12" s="35"/>
      <c r="F12" s="21"/>
      <c r="G12" s="21"/>
      <c r="H12" s="20"/>
      <c r="I12" s="36"/>
      <c r="J12" s="300"/>
      <c r="K12" s="302"/>
      <c r="L12" s="302"/>
      <c r="M12" s="302"/>
      <c r="N12" s="242">
        <f t="shared" si="0"/>
        <v>0</v>
      </c>
      <c r="O12" s="12"/>
      <c r="S12" s="35" t="str">
        <f t="shared" si="2"/>
        <v>Enter data here</v>
      </c>
      <c r="T12" s="35" t="str">
        <f t="shared" si="3"/>
        <v>Use column to left</v>
      </c>
      <c r="U12" s="35" t="s">
        <v>1100</v>
      </c>
      <c r="V12" s="242" t="str">
        <f t="shared" si="1"/>
        <v>Unfilled fields to left</v>
      </c>
      <c r="X12" s="25"/>
      <c r="Y12" s="12"/>
    </row>
    <row r="13" spans="1:29">
      <c r="B13" s="186" t="s">
        <v>1051</v>
      </c>
      <c r="C13" s="184" t="s">
        <v>1101</v>
      </c>
      <c r="D13" s="179" t="s">
        <v>459</v>
      </c>
      <c r="E13" s="35"/>
      <c r="F13" s="21"/>
      <c r="G13" s="21"/>
      <c r="H13" s="20"/>
      <c r="I13" s="36"/>
      <c r="J13" s="300"/>
      <c r="K13" s="302"/>
      <c r="L13" s="302"/>
      <c r="M13" s="302"/>
      <c r="N13" s="242">
        <f t="shared" si="0"/>
        <v>0</v>
      </c>
      <c r="O13" s="12"/>
      <c r="S13" s="35" t="str">
        <f t="shared" si="2"/>
        <v>Enter data here</v>
      </c>
      <c r="T13" s="35" t="str">
        <f t="shared" si="3"/>
        <v>Use column to left</v>
      </c>
      <c r="U13" s="35" t="s">
        <v>1100</v>
      </c>
      <c r="V13" s="242" t="str">
        <f t="shared" si="1"/>
        <v>Unfilled fields to left</v>
      </c>
      <c r="X13" s="25"/>
      <c r="Y13" s="12"/>
    </row>
    <row r="14" spans="1:29">
      <c r="B14" s="186" t="s">
        <v>1177</v>
      </c>
      <c r="C14" s="184" t="s">
        <v>1055</v>
      </c>
      <c r="D14" s="179" t="s">
        <v>459</v>
      </c>
      <c r="E14" s="35"/>
      <c r="F14" s="21"/>
      <c r="G14" s="21"/>
      <c r="H14" s="20"/>
      <c r="I14" s="36"/>
      <c r="J14" s="300"/>
      <c r="K14" s="302"/>
      <c r="L14" s="302"/>
      <c r="M14" s="302"/>
      <c r="N14" s="242">
        <f t="shared" si="0"/>
        <v>0</v>
      </c>
      <c r="O14" s="12"/>
      <c r="S14" s="35" t="str">
        <f t="shared" si="2"/>
        <v>Enter data here</v>
      </c>
      <c r="T14" s="35" t="str">
        <f t="shared" si="3"/>
        <v>Use column to left</v>
      </c>
      <c r="U14" s="35" t="s">
        <v>1100</v>
      </c>
      <c r="V14" s="242" t="str">
        <f t="shared" si="1"/>
        <v>Unfilled fields to left</v>
      </c>
      <c r="X14" s="25"/>
      <c r="Y14" s="12"/>
    </row>
    <row r="15" spans="1:29">
      <c r="B15" s="186" t="s">
        <v>1177</v>
      </c>
      <c r="C15" s="184" t="s">
        <v>1213</v>
      </c>
      <c r="D15" s="179" t="s">
        <v>459</v>
      </c>
      <c r="E15" s="35"/>
      <c r="F15" s="21"/>
      <c r="G15" s="21"/>
      <c r="H15" s="20"/>
      <c r="I15" s="36"/>
      <c r="J15" s="300"/>
      <c r="K15" s="302"/>
      <c r="L15" s="302"/>
      <c r="M15" s="302"/>
      <c r="N15" s="242">
        <f t="shared" si="0"/>
        <v>0</v>
      </c>
      <c r="O15" s="12"/>
      <c r="S15" s="35" t="str">
        <f t="shared" si="2"/>
        <v>Enter data here</v>
      </c>
      <c r="T15" s="35" t="str">
        <f t="shared" si="3"/>
        <v>Use column to left</v>
      </c>
      <c r="U15" s="35" t="s">
        <v>1100</v>
      </c>
      <c r="V15" s="242" t="str">
        <f t="shared" si="1"/>
        <v>Unfilled fields to left</v>
      </c>
      <c r="X15" s="25"/>
      <c r="Y15" s="12"/>
    </row>
    <row r="16" spans="1:29">
      <c r="B16" s="186"/>
      <c r="C16" s="184"/>
      <c r="D16" s="179"/>
      <c r="E16" s="35"/>
      <c r="F16" s="21"/>
      <c r="G16" s="21"/>
      <c r="H16" s="20"/>
      <c r="I16" s="36"/>
      <c r="J16" s="300"/>
      <c r="K16" s="302"/>
      <c r="L16" s="302"/>
      <c r="M16" s="302"/>
      <c r="N16" s="242">
        <f t="shared" si="0"/>
        <v>0</v>
      </c>
      <c r="O16" s="12"/>
      <c r="S16" s="35" t="str">
        <f t="shared" si="2"/>
        <v/>
      </c>
      <c r="T16" s="35" t="str">
        <f t="shared" si="3"/>
        <v/>
      </c>
      <c r="U16" s="35"/>
      <c r="V16" s="242" t="str">
        <f t="shared" si="1"/>
        <v>Unfilled fields to left</v>
      </c>
      <c r="X16" s="25"/>
      <c r="Y16" s="12"/>
    </row>
    <row r="17" spans="2:29">
      <c r="B17" s="16"/>
      <c r="C17" s="15"/>
      <c r="D17" s="179"/>
      <c r="E17" s="35"/>
      <c r="F17" s="21"/>
      <c r="G17" s="21"/>
      <c r="H17" s="20"/>
      <c r="I17" s="36"/>
      <c r="J17" s="300"/>
      <c r="K17" s="302"/>
      <c r="L17" s="302"/>
      <c r="M17" s="302"/>
      <c r="N17" s="242">
        <f t="shared" si="0"/>
        <v>0</v>
      </c>
      <c r="O17" s="12"/>
      <c r="S17" s="35" t="str">
        <f t="shared" si="2"/>
        <v/>
      </c>
      <c r="T17" s="35" t="str">
        <f t="shared" si="3"/>
        <v/>
      </c>
      <c r="U17" s="35"/>
      <c r="V17" s="242" t="str">
        <f t="shared" si="1"/>
        <v>Unfilled fields to left</v>
      </c>
      <c r="X17" s="25"/>
      <c r="Y17" s="12"/>
    </row>
    <row r="18" spans="2:29">
      <c r="C18" s="17"/>
      <c r="D18" s="17"/>
      <c r="E18" s="506"/>
      <c r="F18" s="26"/>
      <c r="G18" s="27"/>
      <c r="H18" s="22"/>
      <c r="I18" s="22"/>
      <c r="J18" s="41"/>
      <c r="K18" s="41"/>
      <c r="L18" s="41"/>
      <c r="M18" s="41"/>
      <c r="N18" s="41"/>
      <c r="O18" s="12"/>
      <c r="S18" s="41"/>
      <c r="T18" s="41"/>
      <c r="U18" s="41"/>
      <c r="V18" s="41"/>
      <c r="X18" s="27"/>
      <c r="Y18" s="12"/>
    </row>
    <row r="19" spans="2:29">
      <c r="B19" s="145" t="s">
        <v>1103</v>
      </c>
      <c r="C19" s="145"/>
      <c r="D19" s="145"/>
      <c r="E19" s="301"/>
      <c r="F19" s="145"/>
      <c r="G19" s="145"/>
      <c r="H19" s="145"/>
      <c r="I19" s="145"/>
      <c r="J19" s="301"/>
      <c r="K19" s="301"/>
      <c r="L19" s="301"/>
      <c r="M19" s="301"/>
      <c r="N19" s="301"/>
      <c r="R19"/>
      <c r="S19" s="40"/>
      <c r="T19" s="40"/>
      <c r="U19" s="40"/>
      <c r="V19" s="40"/>
      <c r="W19" s="19"/>
      <c r="X19" s="19"/>
      <c r="Y19" s="19"/>
      <c r="Z19" s="19"/>
      <c r="AA19" s="19"/>
      <c r="AB19" s="19"/>
      <c r="AC19" s="19"/>
    </row>
    <row r="20" spans="2:29">
      <c r="B20" s="16" t="s">
        <v>1104</v>
      </c>
      <c r="C20" s="184" t="s">
        <v>1214</v>
      </c>
      <c r="D20" s="179" t="s">
        <v>459</v>
      </c>
      <c r="E20" s="35"/>
      <c r="F20" s="24"/>
      <c r="G20" s="21"/>
      <c r="H20" s="21"/>
      <c r="I20" s="21"/>
      <c r="J20" s="300"/>
      <c r="K20" s="306"/>
      <c r="L20" s="306"/>
      <c r="M20" s="306"/>
      <c r="N20" s="242">
        <f t="shared" ref="N20:N32" si="4">IF($D20="MWh/yr (LHV)",$E20,$J20*$E20*(1-$L20)/Conversion_kWh_to_MJ)</f>
        <v>0</v>
      </c>
      <c r="O20" s="246" t="s">
        <v>868</v>
      </c>
      <c r="Q20" s="515">
        <f>IF($D20="MWh/yr (LHV)",$E20,$E20*MAX(0, $J20*(1-$L20)-2.441*$L20)/Conversion_kWh_to_MJ)</f>
        <v>0</v>
      </c>
      <c r="R20" s="245" t="str">
        <f>IFERROR(Q20/(SUM($Q$20:$Q$22)),"")</f>
        <v/>
      </c>
      <c r="S20" s="42"/>
      <c r="T20" s="42"/>
      <c r="U20" s="42"/>
      <c r="V20" s="42"/>
      <c r="X20" s="21"/>
      <c r="Y20" s="12"/>
    </row>
    <row r="21" spans="2:29" s="14" customFormat="1">
      <c r="B21" s="186" t="s">
        <v>1008</v>
      </c>
      <c r="C21" s="184" t="s">
        <v>1106</v>
      </c>
      <c r="D21" s="179" t="s">
        <v>459</v>
      </c>
      <c r="E21" s="35"/>
      <c r="F21" s="21"/>
      <c r="G21" s="21"/>
      <c r="H21" s="20"/>
      <c r="I21" s="33"/>
      <c r="J21" s="300"/>
      <c r="K21" s="302"/>
      <c r="L21" s="302"/>
      <c r="M21" s="302"/>
      <c r="N21" s="242">
        <f t="shared" si="4"/>
        <v>0</v>
      </c>
      <c r="O21" s="12"/>
      <c r="P21" s="12"/>
      <c r="Q21" s="515">
        <f>IF($D21="MWh/yr (LHV)",$E21,$E21*MAX(0, $J21*(1-$L21)-2.441*$L21)/Conversion_kWh_to_MJ)</f>
        <v>0</v>
      </c>
      <c r="R21" s="245" t="str">
        <f t="shared" ref="R21:R22" si="5">IFERROR(Q21/(SUM($Q$20:$Q$22)),"")</f>
        <v/>
      </c>
      <c r="S21" s="42"/>
      <c r="T21" s="42"/>
      <c r="U21" s="107"/>
      <c r="V21" s="12"/>
      <c r="W21" s="23"/>
      <c r="X21" s="21"/>
      <c r="Y21" s="23"/>
      <c r="Z21" s="42"/>
      <c r="AB21" s="12"/>
    </row>
    <row r="22" spans="2:29" s="14" customFormat="1">
      <c r="B22" s="186" t="s">
        <v>1008</v>
      </c>
      <c r="C22" s="184" t="s">
        <v>1107</v>
      </c>
      <c r="D22" s="179" t="s">
        <v>459</v>
      </c>
      <c r="E22" s="35"/>
      <c r="F22" s="21"/>
      <c r="G22" s="21"/>
      <c r="H22" s="20"/>
      <c r="I22" s="20"/>
      <c r="J22" s="302"/>
      <c r="K22" s="302"/>
      <c r="L22" s="302"/>
      <c r="M22" s="302"/>
      <c r="N22" s="242">
        <f t="shared" si="4"/>
        <v>0</v>
      </c>
      <c r="O22" s="12"/>
      <c r="P22" s="12"/>
      <c r="Q22" s="515">
        <f>IF($D22="MWh/yr (LHV)",$E22,$E22*MAX(0, $J22*(1-$L22)-2.441*$L22)/Conversion_kWh_to_MJ)</f>
        <v>0</v>
      </c>
      <c r="R22" s="245" t="str">
        <f t="shared" si="5"/>
        <v/>
      </c>
      <c r="S22" s="42"/>
      <c r="T22" s="42"/>
      <c r="U22" s="107"/>
      <c r="V22" s="12"/>
      <c r="W22" s="23"/>
      <c r="X22" s="21"/>
      <c r="Y22" s="23"/>
      <c r="Z22" s="42"/>
      <c r="AB22" s="12"/>
    </row>
    <row r="23" spans="2:29" s="14" customFormat="1">
      <c r="B23" s="186" t="s">
        <v>1013</v>
      </c>
      <c r="C23" s="184" t="s">
        <v>1108</v>
      </c>
      <c r="D23" s="179" t="s">
        <v>459</v>
      </c>
      <c r="E23" s="35"/>
      <c r="F23" s="21"/>
      <c r="G23" s="21"/>
      <c r="H23" s="20"/>
      <c r="I23" s="20"/>
      <c r="J23" s="302"/>
      <c r="K23" s="302"/>
      <c r="L23" s="302"/>
      <c r="M23" s="302"/>
      <c r="N23" s="242">
        <f t="shared" si="4"/>
        <v>0</v>
      </c>
      <c r="O23" s="12"/>
      <c r="P23" s="12"/>
      <c r="Q23" s="12"/>
      <c r="R23" s="12"/>
      <c r="S23" s="107"/>
      <c r="T23" s="107"/>
      <c r="U23" s="107"/>
      <c r="V23" s="12"/>
      <c r="W23" s="23"/>
      <c r="X23" s="21"/>
      <c r="Y23" s="23"/>
      <c r="Z23" s="42"/>
      <c r="AB23" s="12"/>
    </row>
    <row r="24" spans="2:29" s="14" customFormat="1">
      <c r="B24" s="186" t="s">
        <v>1013</v>
      </c>
      <c r="C24" s="184" t="s">
        <v>1015</v>
      </c>
      <c r="D24" s="179" t="s">
        <v>459</v>
      </c>
      <c r="E24" s="35"/>
      <c r="F24" s="21"/>
      <c r="G24" s="21"/>
      <c r="H24" s="20"/>
      <c r="I24" s="20"/>
      <c r="J24" s="302"/>
      <c r="K24" s="302"/>
      <c r="L24" s="302"/>
      <c r="M24" s="302"/>
      <c r="N24" s="242">
        <f t="shared" si="4"/>
        <v>0</v>
      </c>
      <c r="O24" s="12"/>
      <c r="P24" s="12"/>
      <c r="Q24" s="12"/>
      <c r="R24" s="12"/>
      <c r="S24" s="107"/>
      <c r="T24" s="107"/>
      <c r="U24" s="107"/>
      <c r="V24" s="12"/>
      <c r="W24" s="23"/>
      <c r="X24" s="21"/>
      <c r="Y24" s="23"/>
      <c r="Z24" s="42"/>
      <c r="AB24" s="12"/>
    </row>
    <row r="25" spans="2:29" s="14" customFormat="1">
      <c r="B25" s="186" t="s">
        <v>1016</v>
      </c>
      <c r="C25" s="184" t="s">
        <v>1017</v>
      </c>
      <c r="D25" s="179" t="s">
        <v>459</v>
      </c>
      <c r="E25" s="35"/>
      <c r="F25" s="21"/>
      <c r="G25" s="21"/>
      <c r="H25" s="20"/>
      <c r="I25" s="36"/>
      <c r="J25" s="300"/>
      <c r="K25" s="302"/>
      <c r="L25" s="302"/>
      <c r="M25" s="302"/>
      <c r="N25" s="242">
        <f t="shared" si="4"/>
        <v>0</v>
      </c>
      <c r="O25" s="12"/>
      <c r="P25" s="12"/>
      <c r="Q25" s="12"/>
      <c r="R25" s="12"/>
      <c r="S25" s="107"/>
      <c r="T25" s="107"/>
      <c r="U25" s="107"/>
      <c r="V25" s="12"/>
      <c r="X25" s="21"/>
    </row>
    <row r="26" spans="2:29" s="14" customFormat="1">
      <c r="B26" s="186" t="s">
        <v>1016</v>
      </c>
      <c r="C26" s="184" t="s">
        <v>1018</v>
      </c>
      <c r="D26" s="179" t="s">
        <v>459</v>
      </c>
      <c r="E26" s="35"/>
      <c r="F26" s="21"/>
      <c r="G26" s="21"/>
      <c r="H26" s="20"/>
      <c r="I26" s="36"/>
      <c r="J26" s="300"/>
      <c r="K26" s="302"/>
      <c r="L26" s="302"/>
      <c r="M26" s="302"/>
      <c r="N26" s="242">
        <f t="shared" si="4"/>
        <v>0</v>
      </c>
      <c r="O26" s="12"/>
      <c r="P26" s="12"/>
      <c r="Q26" s="12"/>
      <c r="R26" s="12"/>
      <c r="S26" s="107"/>
      <c r="T26" s="107"/>
      <c r="U26" s="107"/>
      <c r="V26" s="12"/>
      <c r="X26" s="21"/>
    </row>
    <row r="27" spans="2:29" s="14" customFormat="1">
      <c r="B27" s="186" t="s">
        <v>1180</v>
      </c>
      <c r="C27" s="184" t="s">
        <v>1181</v>
      </c>
      <c r="D27" s="179" t="s">
        <v>459</v>
      </c>
      <c r="E27" s="35"/>
      <c r="F27" s="34"/>
      <c r="G27" s="21"/>
      <c r="H27" s="20"/>
      <c r="I27" s="36"/>
      <c r="J27" s="300"/>
      <c r="K27" s="302"/>
      <c r="L27" s="302"/>
      <c r="M27" s="302"/>
      <c r="N27" s="242">
        <f t="shared" si="4"/>
        <v>0</v>
      </c>
      <c r="O27" s="12"/>
      <c r="P27" s="12"/>
      <c r="Q27" s="12"/>
      <c r="R27" s="12"/>
      <c r="S27" s="528">
        <f>1*1000</f>
        <v>1000</v>
      </c>
      <c r="T27" s="477"/>
      <c r="U27" s="530" t="s">
        <v>1059</v>
      </c>
      <c r="V27" s="242" t="str">
        <f t="shared" ref="V27:V32" si="6">IFERROR(IF(D27="tonnes/yr", $S27*$E27/($N$20*3.6), $T27*$E27*3.6/($N$20*3.6)), "Unfilled fields to left")</f>
        <v>Unfilled fields to left</v>
      </c>
      <c r="X27" s="21"/>
    </row>
    <row r="28" spans="2:29" s="14" customFormat="1">
      <c r="B28" s="186" t="s">
        <v>1180</v>
      </c>
      <c r="C28" s="184" t="s">
        <v>1182</v>
      </c>
      <c r="D28" s="179" t="s">
        <v>459</v>
      </c>
      <c r="E28" s="35"/>
      <c r="F28" s="34"/>
      <c r="G28" s="21"/>
      <c r="H28" s="20"/>
      <c r="I28" s="36"/>
      <c r="J28" s="300"/>
      <c r="K28" s="302"/>
      <c r="L28" s="302"/>
      <c r="M28" s="302"/>
      <c r="N28" s="242">
        <f t="shared" si="4"/>
        <v>0</v>
      </c>
      <c r="O28" s="12"/>
      <c r="P28" s="12"/>
      <c r="Q28" s="12"/>
      <c r="R28" s="12"/>
      <c r="S28" s="528">
        <f>1*1000</f>
        <v>1000</v>
      </c>
      <c r="T28" s="477"/>
      <c r="U28" s="530" t="s">
        <v>1059</v>
      </c>
      <c r="V28" s="242" t="str">
        <f t="shared" si="6"/>
        <v>Unfilled fields to left</v>
      </c>
      <c r="X28" s="21"/>
    </row>
    <row r="29" spans="2:29" s="14" customFormat="1">
      <c r="B29" s="186" t="s">
        <v>1113</v>
      </c>
      <c r="C29" s="184" t="s">
        <v>1183</v>
      </c>
      <c r="D29" s="179" t="s">
        <v>459</v>
      </c>
      <c r="E29" s="35"/>
      <c r="F29" s="34"/>
      <c r="G29" s="21"/>
      <c r="H29" s="20"/>
      <c r="I29" s="36"/>
      <c r="J29" s="300"/>
      <c r="K29" s="302"/>
      <c r="L29" s="302"/>
      <c r="M29" s="302"/>
      <c r="N29" s="242">
        <f t="shared" si="4"/>
        <v>0</v>
      </c>
      <c r="O29" s="12"/>
      <c r="P29" s="12"/>
      <c r="Q29" s="12"/>
      <c r="R29" s="12"/>
      <c r="S29" s="528">
        <f>28*1000</f>
        <v>28000</v>
      </c>
      <c r="T29" s="477"/>
      <c r="U29" s="530" t="s">
        <v>1059</v>
      </c>
      <c r="V29" s="242" t="str">
        <f t="shared" si="6"/>
        <v>Unfilled fields to left</v>
      </c>
      <c r="X29" s="21"/>
    </row>
    <row r="30" spans="2:29" s="14" customFormat="1">
      <c r="B30" s="186" t="s">
        <v>1113</v>
      </c>
      <c r="C30" s="184" t="s">
        <v>1075</v>
      </c>
      <c r="D30" s="179" t="s">
        <v>459</v>
      </c>
      <c r="E30" s="35"/>
      <c r="F30" s="34"/>
      <c r="G30" s="21"/>
      <c r="H30" s="20"/>
      <c r="I30" s="36"/>
      <c r="J30" s="300"/>
      <c r="K30" s="302"/>
      <c r="L30" s="302"/>
      <c r="M30" s="302"/>
      <c r="N30" s="242">
        <f t="shared" si="4"/>
        <v>0</v>
      </c>
      <c r="O30" s="12"/>
      <c r="P30" s="12"/>
      <c r="Q30" s="12"/>
      <c r="R30" s="12"/>
      <c r="S30" s="528">
        <v>265000</v>
      </c>
      <c r="T30" s="477"/>
      <c r="U30" s="530" t="s">
        <v>1059</v>
      </c>
      <c r="V30" s="242" t="str">
        <f t="shared" si="6"/>
        <v>Unfilled fields to left</v>
      </c>
      <c r="X30" s="21"/>
    </row>
    <row r="31" spans="2:29" s="14" customFormat="1">
      <c r="B31" s="16"/>
      <c r="C31" s="15"/>
      <c r="D31" s="179"/>
      <c r="E31" s="35"/>
      <c r="F31" s="21"/>
      <c r="G31" s="21"/>
      <c r="H31" s="20"/>
      <c r="I31" s="36"/>
      <c r="J31" s="300"/>
      <c r="K31" s="302"/>
      <c r="L31" s="302"/>
      <c r="M31" s="302"/>
      <c r="N31" s="242">
        <f t="shared" si="4"/>
        <v>0</v>
      </c>
      <c r="O31" s="12"/>
      <c r="P31" s="12"/>
      <c r="Q31" s="12"/>
      <c r="R31" s="12"/>
      <c r="S31" s="528"/>
      <c r="T31" s="477"/>
      <c r="U31" s="531"/>
      <c r="V31" s="242" t="str">
        <f t="shared" si="6"/>
        <v>Unfilled fields to left</v>
      </c>
      <c r="X31" s="21"/>
    </row>
    <row r="32" spans="2:29" s="14" customFormat="1">
      <c r="B32" s="16"/>
      <c r="C32" s="15"/>
      <c r="D32" s="179"/>
      <c r="E32" s="35"/>
      <c r="F32" s="21"/>
      <c r="G32" s="21"/>
      <c r="H32" s="20"/>
      <c r="I32" s="36"/>
      <c r="J32" s="300"/>
      <c r="K32" s="302"/>
      <c r="L32" s="302"/>
      <c r="M32" s="302"/>
      <c r="N32" s="242">
        <f t="shared" si="4"/>
        <v>0</v>
      </c>
      <c r="O32" s="12"/>
      <c r="P32" s="12"/>
      <c r="Q32" s="12"/>
      <c r="R32" s="12"/>
      <c r="S32" s="528"/>
      <c r="T32" s="477"/>
      <c r="U32" s="531"/>
      <c r="V32" s="242" t="str">
        <f t="shared" si="6"/>
        <v>Unfilled fields to left</v>
      </c>
      <c r="X32" s="21"/>
    </row>
    <row r="33" spans="2:25" s="19" customFormat="1">
      <c r="C33" s="17"/>
      <c r="D33" s="17"/>
      <c r="E33" s="140"/>
      <c r="F33" s="17"/>
      <c r="H33" s="18"/>
      <c r="I33" s="18"/>
      <c r="J33" s="40"/>
      <c r="K33" s="40"/>
      <c r="L33" s="40"/>
      <c r="M33" s="40"/>
      <c r="N33" s="40"/>
      <c r="S33" s="40"/>
      <c r="T33" s="40"/>
      <c r="U33" s="40"/>
      <c r="V33" s="40"/>
    </row>
    <row r="34" spans="2:25" s="19" customFormat="1">
      <c r="B34" s="145" t="s">
        <v>1184</v>
      </c>
      <c r="C34" s="145"/>
      <c r="D34" s="145"/>
      <c r="E34" s="301"/>
      <c r="F34" s="145"/>
      <c r="G34" s="145"/>
      <c r="H34" s="145"/>
      <c r="I34" s="145"/>
      <c r="J34" s="301"/>
      <c r="K34" s="301"/>
      <c r="L34" s="301"/>
      <c r="M34" s="301"/>
      <c r="N34" s="301"/>
      <c r="S34" s="40"/>
      <c r="T34" s="40"/>
      <c r="U34" s="40"/>
      <c r="V34" s="40"/>
    </row>
    <row r="35" spans="2:25" s="19" customFormat="1">
      <c r="B35" s="186" t="s">
        <v>1185</v>
      </c>
      <c r="C35" s="184" t="s">
        <v>1186</v>
      </c>
      <c r="D35" s="179" t="s">
        <v>459</v>
      </c>
      <c r="E35" s="35" t="e">
        <f>E43/E42*E20</f>
        <v>#DIV/0!</v>
      </c>
      <c r="F35" s="24"/>
      <c r="G35" s="21"/>
      <c r="H35" s="20"/>
      <c r="I35" s="20"/>
      <c r="J35" s="300"/>
      <c r="K35" s="302"/>
      <c r="L35" s="302"/>
      <c r="M35" s="302"/>
      <c r="N35" s="567" t="s">
        <v>868</v>
      </c>
      <c r="S35" s="300">
        <v>1000</v>
      </c>
      <c r="T35" s="477"/>
      <c r="U35" s="35" t="s">
        <v>1059</v>
      </c>
      <c r="V35" s="242" t="str">
        <f>IFERROR(IF(D35="tonnes/yr", $S35*$E35/($N$20*3.6), $T35*$E35*3.6/($N$20*3.6)), "Unfilled fields to left")</f>
        <v>Unfilled fields to left</v>
      </c>
      <c r="X35" s="24"/>
    </row>
    <row r="36" spans="2:25" s="19" customFormat="1">
      <c r="B36" s="16"/>
      <c r="C36" s="15"/>
      <c r="D36" s="179"/>
      <c r="E36" s="35"/>
      <c r="F36" s="21"/>
      <c r="G36" s="21"/>
      <c r="H36" s="20"/>
      <c r="I36" s="36"/>
      <c r="J36" s="300"/>
      <c r="K36" s="302"/>
      <c r="L36" s="302"/>
      <c r="M36" s="302"/>
      <c r="N36" s="567" t="s">
        <v>868</v>
      </c>
      <c r="S36" s="302"/>
      <c r="T36" s="477"/>
      <c r="U36" s="302"/>
      <c r="V36" s="242" t="str">
        <f>IFERROR(IF(D36="tonnes/yr", $S36*$E36/($N$20*3.6), $T36*$E36*3.6/($N$20*3.6)), "Unfilled fields to left")</f>
        <v>Unfilled fields to left</v>
      </c>
      <c r="X36" s="25"/>
    </row>
    <row r="37" spans="2:25" s="19" customFormat="1">
      <c r="C37" s="17"/>
      <c r="D37" s="17"/>
      <c r="E37" s="140"/>
      <c r="F37" s="17"/>
      <c r="H37" s="18"/>
      <c r="I37" s="18"/>
      <c r="J37" s="40"/>
      <c r="K37" s="40"/>
      <c r="L37" s="40"/>
      <c r="M37" s="40"/>
      <c r="N37" s="40"/>
      <c r="S37" s="40"/>
      <c r="T37" s="40"/>
      <c r="U37" s="40"/>
      <c r="V37" s="40"/>
    </row>
    <row r="38" spans="2:25" s="19" customFormat="1">
      <c r="C38" s="17"/>
      <c r="D38" s="17"/>
      <c r="E38" s="140"/>
      <c r="F38" s="17"/>
      <c r="H38" s="18"/>
      <c r="I38" s="18"/>
      <c r="J38" s="40"/>
      <c r="K38" s="40"/>
      <c r="L38" s="40"/>
      <c r="M38" s="40"/>
      <c r="N38" s="40"/>
      <c r="S38" s="40"/>
      <c r="T38" s="40"/>
      <c r="U38" s="40"/>
      <c r="V38" s="40"/>
    </row>
    <row r="39" spans="2:25" s="19" customFormat="1">
      <c r="D39" s="17"/>
      <c r="E39" s="140"/>
      <c r="H39" s="126"/>
      <c r="I39" s="126"/>
      <c r="J39" s="125"/>
      <c r="K39" s="125"/>
      <c r="L39" s="125"/>
      <c r="M39" s="125"/>
      <c r="N39" s="125"/>
      <c r="S39" s="125"/>
      <c r="T39" s="125"/>
      <c r="U39" s="38" t="s">
        <v>1114</v>
      </c>
      <c r="V39" s="153">
        <f>SUM(V7:V38)</f>
        <v>0</v>
      </c>
    </row>
    <row r="40" spans="2:25">
      <c r="B40" s="145" t="s">
        <v>132</v>
      </c>
      <c r="C40" s="159"/>
      <c r="D40" s="159"/>
      <c r="E40" s="499"/>
      <c r="I40" s="12"/>
      <c r="J40" s="107"/>
      <c r="K40" s="107"/>
      <c r="L40" s="107"/>
      <c r="M40" s="107"/>
      <c r="N40" s="107"/>
      <c r="O40" s="12"/>
      <c r="S40" s="107"/>
      <c r="T40" s="107"/>
      <c r="U40" s="107"/>
      <c r="Y40" s="12"/>
    </row>
    <row r="41" spans="2:25">
      <c r="B41" s="16" t="s">
        <v>1086</v>
      </c>
      <c r="C41" s="15" t="s">
        <v>1087</v>
      </c>
      <c r="D41" s="15" t="s">
        <v>1088</v>
      </c>
      <c r="E41" s="501"/>
      <c r="G41" s="19"/>
      <c r="H41" s="12"/>
      <c r="I41" s="12"/>
      <c r="J41" s="107"/>
      <c r="K41" s="107"/>
      <c r="L41" s="107"/>
      <c r="M41" s="107"/>
      <c r="N41" s="107"/>
      <c r="O41" s="12"/>
      <c r="S41" s="107"/>
      <c r="T41" s="107"/>
      <c r="U41" s="107"/>
      <c r="V41" s="12"/>
      <c r="X41" s="25"/>
      <c r="Y41" s="12"/>
    </row>
    <row r="42" spans="2:25">
      <c r="B42" s="16" t="s">
        <v>1187</v>
      </c>
      <c r="C42" s="15" t="s">
        <v>1187</v>
      </c>
      <c r="D42" s="15" t="s">
        <v>1188</v>
      </c>
      <c r="E42" s="501"/>
      <c r="H42" s="12"/>
      <c r="I42" s="12"/>
      <c r="J42" s="107"/>
      <c r="K42" s="107"/>
      <c r="L42" s="107"/>
      <c r="M42" s="107"/>
      <c r="N42" s="107"/>
      <c r="O42" s="12"/>
      <c r="S42" s="107"/>
      <c r="T42" s="107"/>
      <c r="U42" s="107"/>
      <c r="V42" s="12"/>
      <c r="X42" s="25"/>
      <c r="Y42" s="12"/>
    </row>
    <row r="43" spans="2:25">
      <c r="B43" s="16" t="s">
        <v>1189</v>
      </c>
      <c r="C43" s="15" t="s">
        <v>1190</v>
      </c>
      <c r="D43" s="15" t="s">
        <v>1191</v>
      </c>
      <c r="E43" s="501"/>
      <c r="J43" s="39"/>
      <c r="K43" s="39"/>
      <c r="L43" s="39"/>
      <c r="M43" s="39"/>
      <c r="S43" s="39"/>
      <c r="T43" s="39"/>
      <c r="U43" s="39"/>
      <c r="X43" s="25"/>
    </row>
    <row r="44" spans="2:25">
      <c r="B44" s="16"/>
      <c r="C44" s="15"/>
      <c r="D44" s="15"/>
      <c r="E44" s="507"/>
      <c r="J44" s="39"/>
      <c r="K44" s="39"/>
      <c r="L44" s="39"/>
      <c r="M44" s="39"/>
      <c r="S44" s="39"/>
      <c r="T44" s="39"/>
      <c r="U44" s="39"/>
      <c r="X44" s="25"/>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L122" s="39"/>
      <c r="M122" s="39"/>
      <c r="S122" s="39"/>
      <c r="T122" s="39"/>
      <c r="U122" s="39"/>
    </row>
    <row r="123" spans="5:21">
      <c r="E123" s="107"/>
      <c r="J123" s="39"/>
      <c r="K123" s="39"/>
      <c r="L123" s="39"/>
      <c r="M123" s="39"/>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E148" s="107"/>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row r="190" spans="19:21">
      <c r="S190" s="39"/>
      <c r="T190" s="39"/>
      <c r="U190"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Q11" activePane="bottomRight" state="frozen"/>
      <selection pane="bottomRight" activeCell="D2" sqref="D2"/>
      <pageMargins left="0" right="0" top="0" bottom="0" header="0" footer="0"/>
      <pageSetup paperSize="9" orientation="portrait" r:id="rId4"/>
    </customSheetView>
    <customSheetView guid="{E6EFD927-84B2-4D06-BB59-59D9DF522DA2}" showGridLines="0">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Q11"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35:D36 D8:D17 D20:D32" xr:uid="{CBBDBBCA-ADE8-45DC-98EB-B34334A10155}">
      <formula1>Flow_units</formula1>
    </dataValidation>
    <dataValidation type="custom" allowBlank="1" showInputMessage="1" showErrorMessage="1" error="Please do not change this formula" prompt="Please do not change this formula" sqref="W4 Q23:R1048576 P1:R4 V1:V4 V6:V1048576 O4 R6:R19 P21:P1048576 O6:O20 Q20:Q22 S5:V5 N1:N34 N37:N1048576" xr:uid="{46499973-AEC8-430D-B244-EECCC65C7185}">
      <formula1>"Please do not change this formula"</formula1>
    </dataValidation>
    <dataValidation type="custom" allowBlank="1" showInputMessage="1" showErrorMessage="1" error="Please do not change this formula" sqref="O5:R5" xr:uid="{8F1634B4-3F5A-4544-BB1D-9EF796B2C1DB}">
      <formula1>"Please do not change this formula"</formula1>
    </dataValidation>
    <dataValidation type="custom" allowBlank="1" showInputMessage="1" showErrorMessage="1" error="Please do not change" sqref="R20:R22" xr:uid="{7A7EA0BC-5A9A-4854-8BC6-1605F1EF3C66}">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4" xr:uid="{CFC0D6FA-5876-48A5-8453-60EC184F21C1}">
      <formula1>0</formula1>
    </dataValidation>
  </dataValidations>
  <hyperlinks>
    <hyperlink ref="I2:J2" location="'Biomass Transport'!A1" display="Go to the next step of this pathway" xr:uid="{96D45221-5F40-4D0B-8945-3C29F069E7C1}"/>
    <hyperlink ref="I2:K2" location="Biomass_Harvesting!A1" display="Go to the next step of this pathway" xr:uid="{53413711-7069-4CB4-84E7-2A693E2C605A}"/>
  </hyperlinks>
  <pageMargins left="0" right="0" top="0" bottom="0" header="0" footer="0"/>
  <pageSetup paperSize="9" orientation="portrait" r:id="rId10"/>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26" id="{00000000-000E-0000-2A00-00001A000000}">
            <xm:f>AND(Path&lt;&gt;Units!$B$135,Path&lt;&gt;Units!$B$136,Master_Switch="On")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66" id="{8E32836F-B520-4D09-A53F-62647D24D922}">
            <xm:f>AND(Initial_questions!$E$68&lt;&gt;"Cereals and other starch-rich crops", Initial_questions!$E$68&lt;&gt;"Sugar crops", Initial_questions!$E$68&lt;&gt;"Oil crops", Initial_questions!$E$68&lt;&gt;"Other crop/purpose grown feedstock",Master_Switch="On")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D6F66-8861-42A1-8784-22337880EFC9}">
  <sheetPr codeName="Sheet48">
    <tabColor rgb="FFCCFF66"/>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55"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18.453125" customWidth="1"/>
    <col min="16" max="16" width="8.1796875" style="12" customWidth="1"/>
    <col min="17" max="17" width="18.81640625" style="12" customWidth="1"/>
    <col min="18" max="18" width="17.54296875" style="12" customWidth="1"/>
    <col min="19" max="20" width="20.7265625" style="13" customWidth="1"/>
    <col min="21" max="21" width="22.7265625" style="13" customWidth="1"/>
    <col min="22" max="22" width="20.26953125" style="39" customWidth="1"/>
    <col min="23" max="23" width="7.1796875" style="12" customWidth="1"/>
    <col min="24" max="24" width="26" style="12" customWidth="1"/>
    <col min="26" max="16384" width="7.1796875" style="12"/>
  </cols>
  <sheetData>
    <row r="1" spans="1:29" ht="31.9" customHeight="1">
      <c r="A1" s="80" t="str">
        <f>IF(AND(Path&lt;&gt;Units!$B$135,Path&lt;&gt;Units!$B$136,Master_Switch="On"),"User should not fill in this sheet, but switch to other non-blank GHG worksheets","")</f>
        <v>User should not fill in this sheet, but switch to other non-blank GHG worksheets</v>
      </c>
      <c r="E1" s="256"/>
    </row>
    <row r="2" spans="1:29" ht="20.5" customHeight="1">
      <c r="B2" s="80" t="str">
        <f>IF(AND(Initial_questions!$E$68&lt;&gt;"Cereals and other starch-rich crops", Initial_questions!$E$68&lt;&gt;"Sugar crops", Initial_questions!$E$68&lt;&gt;"Oil crops", Initial_questions!$E$68&lt;&gt;"Other crop/purpose grown feedstock",Master_Switch="On"),"Not a purpose-grown feedstock, move to the next step of the pathway","")</f>
        <v>Not a purpose-grown feedstock, move to the next step of the pathway</v>
      </c>
      <c r="E2" s="256"/>
      <c r="I2" s="729" t="s">
        <v>1093</v>
      </c>
      <c r="J2" s="731"/>
      <c r="K2" s="732"/>
      <c r="L2" s="39"/>
      <c r="M2" s="39"/>
    </row>
    <row r="3" spans="1:29" ht="15" customHeight="1">
      <c r="E3" s="256"/>
    </row>
    <row r="4" spans="1:29" ht="15.65" customHeight="1" thickBot="1">
      <c r="B4" s="3"/>
      <c r="C4" s="3"/>
      <c r="D4" s="3"/>
      <c r="E4" s="455"/>
      <c r="F4" s="3"/>
      <c r="G4" s="3"/>
      <c r="H4" s="1"/>
      <c r="I4" s="1"/>
      <c r="J4" s="1"/>
      <c r="K4" s="1"/>
      <c r="L4" s="1"/>
      <c r="M4" s="1"/>
      <c r="N4" s="37"/>
      <c r="O4" s="1"/>
      <c r="P4" s="3"/>
      <c r="Q4" s="3"/>
      <c r="R4" s="3"/>
      <c r="S4" s="1"/>
      <c r="T4" s="1"/>
      <c r="U4" s="1"/>
      <c r="V4" s="37"/>
      <c r="W4" s="37"/>
      <c r="X4" s="3"/>
    </row>
    <row r="5" spans="1:29"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9" ht="15" thickTop="1">
      <c r="E6" s="457"/>
      <c r="R6"/>
      <c r="S6"/>
      <c r="T6"/>
      <c r="U6"/>
      <c r="V6"/>
    </row>
    <row r="7" spans="1:29">
      <c r="B7" s="145" t="s">
        <v>1097</v>
      </c>
      <c r="C7" s="145"/>
      <c r="D7" s="145"/>
      <c r="E7" s="324"/>
      <c r="F7" s="145"/>
      <c r="G7" s="145"/>
      <c r="H7" s="145"/>
      <c r="I7" s="145"/>
      <c r="J7" s="145"/>
      <c r="K7" s="145"/>
      <c r="L7" s="145"/>
      <c r="M7" s="145"/>
      <c r="N7" s="301"/>
      <c r="R7"/>
      <c r="S7"/>
      <c r="T7"/>
      <c r="U7"/>
      <c r="V7"/>
      <c r="W7" s="19"/>
      <c r="X7" s="19"/>
      <c r="Y7" s="19"/>
      <c r="Z7" s="19"/>
      <c r="AA7" s="19"/>
      <c r="AB7" s="19"/>
      <c r="AC7" s="19"/>
    </row>
    <row r="8" spans="1:29">
      <c r="B8" s="16" t="s">
        <v>1115</v>
      </c>
      <c r="C8" s="184" t="s">
        <v>1214</v>
      </c>
      <c r="D8" s="179" t="s">
        <v>459</v>
      </c>
      <c r="E8" s="35"/>
      <c r="F8" s="24"/>
      <c r="G8" s="21"/>
      <c r="H8" s="21"/>
      <c r="I8" s="21"/>
      <c r="J8" s="300"/>
      <c r="K8" s="302"/>
      <c r="L8" s="302"/>
      <c r="M8" s="302"/>
      <c r="N8" s="242">
        <f t="shared" ref="N8:N17" si="0">IF($D8="MWh/yr (LHV)",$E8,$J8*$E8*(1-$L8)/Conversion_kWh_to_MJ)</f>
        <v>0</v>
      </c>
      <c r="O8" s="12"/>
      <c r="S8" s="107"/>
      <c r="T8" s="107"/>
      <c r="U8" s="107"/>
      <c r="V8" s="12"/>
      <c r="X8" s="24"/>
      <c r="Y8" s="12"/>
    </row>
    <row r="9" spans="1:29">
      <c r="B9" s="186" t="s">
        <v>1021</v>
      </c>
      <c r="C9" s="184" t="s">
        <v>1098</v>
      </c>
      <c r="D9" s="179" t="s">
        <v>479</v>
      </c>
      <c r="E9" s="35"/>
      <c r="F9" s="24"/>
      <c r="G9" s="21"/>
      <c r="H9" s="20"/>
      <c r="I9" s="36"/>
      <c r="J9" s="300"/>
      <c r="K9" s="302"/>
      <c r="L9" s="302"/>
      <c r="M9" s="302"/>
      <c r="N9" s="242">
        <f t="shared" si="0"/>
        <v>0</v>
      </c>
      <c r="O9" s="12"/>
      <c r="S9" s="35" t="str">
        <f>IF(B9="", "", IF(D9="MWh/yr (LHV)", "Use column to right", "Enter data here"))</f>
        <v>Use column to right</v>
      </c>
      <c r="T9" s="35" t="e">
        <f>INDEX(Proj_grid_intensity_kWh,MATCH(Operations_year,Proj_grid_year,0))/Conversion_kWh_to_MJ</f>
        <v>#N/A</v>
      </c>
      <c r="U9" s="35" t="s">
        <v>1064</v>
      </c>
      <c r="V9" s="263" t="str">
        <f t="shared" ref="V9:V17" si="1">IFERROR(IF(D9="tonnes/yr", $S9*$E9/($N$20*3.6), $T9*$E9*3.6/($N$20*3.6)), "Unfilled fields to left")</f>
        <v>Unfilled fields to left</v>
      </c>
      <c r="X9" s="25"/>
      <c r="Y9" s="12"/>
    </row>
    <row r="10" spans="1:29">
      <c r="B10" s="186" t="s">
        <v>1021</v>
      </c>
      <c r="C10" s="184"/>
      <c r="D10" s="179"/>
      <c r="E10" s="35"/>
      <c r="F10" s="24"/>
      <c r="G10" s="21"/>
      <c r="H10" s="20"/>
      <c r="I10" s="36"/>
      <c r="J10" s="300"/>
      <c r="K10" s="302"/>
      <c r="L10" s="302"/>
      <c r="M10" s="302"/>
      <c r="N10" s="242">
        <f t="shared" si="0"/>
        <v>0</v>
      </c>
      <c r="O10" s="12"/>
      <c r="S10" s="35" t="str">
        <f t="shared" ref="S10" si="2">IF(B10="", "", IF(D10="MWh/yr (LHV)", "Use column to right", "Enter data here"))</f>
        <v>Enter data here</v>
      </c>
      <c r="T10" s="35" t="str">
        <f t="shared" ref="T10" si="3">IF(B10="", "", IF(D10="MWh/yr (LHV)", "Enter data here", "Use column to left"))</f>
        <v>Use column to left</v>
      </c>
      <c r="U10" s="35" t="s">
        <v>1100</v>
      </c>
      <c r="V10" s="263" t="str">
        <f t="shared" si="1"/>
        <v>Unfilled fields to left</v>
      </c>
      <c r="X10" s="25"/>
      <c r="Y10" s="12"/>
    </row>
    <row r="11" spans="1:29">
      <c r="B11" s="186" t="s">
        <v>1042</v>
      </c>
      <c r="C11" s="184" t="s">
        <v>1043</v>
      </c>
      <c r="D11" s="179" t="s">
        <v>459</v>
      </c>
      <c r="E11" s="35"/>
      <c r="F11" s="35"/>
      <c r="G11" s="21"/>
      <c r="H11" s="20"/>
      <c r="I11" s="36"/>
      <c r="J11" s="300"/>
      <c r="K11" s="302"/>
      <c r="L11" s="302"/>
      <c r="M11" s="302"/>
      <c r="N11" s="242">
        <f t="shared" si="0"/>
        <v>0</v>
      </c>
      <c r="O11" s="12"/>
      <c r="S11" s="35" t="str">
        <f t="shared" ref="S11:S17" si="4">IF(B11="", "", IF(D11="MWh/yr (LHV)", "Use column to right", "Enter data here"))</f>
        <v>Enter data here</v>
      </c>
      <c r="T11" s="35" t="str">
        <f t="shared" ref="T11:T17" si="5">IF(B11="", "", IF(D11="MWh/yr (LHV)", "Enter data here", "Use column to left"))</f>
        <v>Use column to left</v>
      </c>
      <c r="U11" s="35" t="s">
        <v>1100</v>
      </c>
      <c r="V11" s="263" t="str">
        <f t="shared" si="1"/>
        <v>Unfilled fields to left</v>
      </c>
      <c r="W11" s="91"/>
      <c r="X11" s="25"/>
      <c r="Y11" s="12"/>
    </row>
    <row r="12" spans="1:29">
      <c r="B12" s="186" t="s">
        <v>1042</v>
      </c>
      <c r="C12" s="184" t="s">
        <v>1045</v>
      </c>
      <c r="D12" s="179" t="s">
        <v>459</v>
      </c>
      <c r="E12" s="35"/>
      <c r="F12" s="21"/>
      <c r="G12" s="21"/>
      <c r="H12" s="20"/>
      <c r="I12" s="36"/>
      <c r="J12" s="300"/>
      <c r="K12" s="302"/>
      <c r="L12" s="302"/>
      <c r="M12" s="302"/>
      <c r="N12" s="242">
        <f t="shared" si="0"/>
        <v>0</v>
      </c>
      <c r="O12" s="12"/>
      <c r="S12" s="35" t="str">
        <f t="shared" si="4"/>
        <v>Enter data here</v>
      </c>
      <c r="T12" s="35" t="str">
        <f t="shared" si="5"/>
        <v>Use column to left</v>
      </c>
      <c r="U12" s="35" t="s">
        <v>1100</v>
      </c>
      <c r="V12" s="263" t="str">
        <f t="shared" si="1"/>
        <v>Unfilled fields to left</v>
      </c>
      <c r="X12" s="25"/>
      <c r="Y12" s="12"/>
    </row>
    <row r="13" spans="1:29">
      <c r="B13" s="186" t="s">
        <v>1051</v>
      </c>
      <c r="C13" s="184" t="s">
        <v>1010</v>
      </c>
      <c r="D13" s="179" t="s">
        <v>459</v>
      </c>
      <c r="E13" s="35"/>
      <c r="F13" s="21"/>
      <c r="G13" s="21"/>
      <c r="H13" s="20"/>
      <c r="I13" s="36"/>
      <c r="J13" s="300"/>
      <c r="K13" s="302"/>
      <c r="L13" s="302"/>
      <c r="M13" s="302"/>
      <c r="N13" s="242">
        <f t="shared" si="0"/>
        <v>0</v>
      </c>
      <c r="O13" s="12"/>
      <c r="S13" s="35" t="str">
        <f t="shared" si="4"/>
        <v>Enter data here</v>
      </c>
      <c r="T13" s="35" t="str">
        <f t="shared" si="5"/>
        <v>Use column to left</v>
      </c>
      <c r="U13" s="35" t="s">
        <v>1100</v>
      </c>
      <c r="V13" s="263" t="str">
        <f t="shared" si="1"/>
        <v>Unfilled fields to left</v>
      </c>
      <c r="X13" s="25"/>
      <c r="Y13" s="12"/>
    </row>
    <row r="14" spans="1:29">
      <c r="B14" s="186" t="s">
        <v>1051</v>
      </c>
      <c r="C14" s="184" t="s">
        <v>1101</v>
      </c>
      <c r="D14" s="179" t="s">
        <v>459</v>
      </c>
      <c r="E14" s="35"/>
      <c r="F14" s="21"/>
      <c r="G14" s="21"/>
      <c r="H14" s="20"/>
      <c r="I14" s="36"/>
      <c r="J14" s="300"/>
      <c r="K14" s="302"/>
      <c r="L14" s="302"/>
      <c r="M14" s="302"/>
      <c r="N14" s="242">
        <f t="shared" si="0"/>
        <v>0</v>
      </c>
      <c r="O14" s="12"/>
      <c r="S14" s="35" t="str">
        <f t="shared" si="4"/>
        <v>Enter data here</v>
      </c>
      <c r="T14" s="35" t="str">
        <f t="shared" si="5"/>
        <v>Use column to left</v>
      </c>
      <c r="U14" s="35" t="s">
        <v>1100</v>
      </c>
      <c r="V14" s="263" t="str">
        <f t="shared" si="1"/>
        <v>Unfilled fields to left</v>
      </c>
      <c r="X14" s="25"/>
      <c r="Y14" s="12"/>
    </row>
    <row r="15" spans="1:29">
      <c r="B15" s="186" t="s">
        <v>1177</v>
      </c>
      <c r="C15" s="184" t="s">
        <v>1055</v>
      </c>
      <c r="D15" s="179" t="s">
        <v>459</v>
      </c>
      <c r="E15" s="35"/>
      <c r="F15" s="21"/>
      <c r="G15" s="21"/>
      <c r="H15" s="20"/>
      <c r="I15" s="36"/>
      <c r="J15" s="300"/>
      <c r="K15" s="302"/>
      <c r="L15" s="302"/>
      <c r="M15" s="302"/>
      <c r="N15" s="242">
        <f t="shared" si="0"/>
        <v>0</v>
      </c>
      <c r="O15" s="12"/>
      <c r="S15" s="35" t="str">
        <f t="shared" si="4"/>
        <v>Enter data here</v>
      </c>
      <c r="T15" s="35" t="str">
        <f t="shared" si="5"/>
        <v>Use column to left</v>
      </c>
      <c r="U15" s="35" t="s">
        <v>1100</v>
      </c>
      <c r="V15" s="263" t="str">
        <f t="shared" si="1"/>
        <v>Unfilled fields to left</v>
      </c>
      <c r="X15" s="25"/>
      <c r="Y15" s="12"/>
    </row>
    <row r="16" spans="1:29">
      <c r="B16" s="186" t="s">
        <v>1177</v>
      </c>
      <c r="C16" s="184" t="s">
        <v>1213</v>
      </c>
      <c r="D16" s="179" t="s">
        <v>459</v>
      </c>
      <c r="E16" s="35"/>
      <c r="F16" s="21"/>
      <c r="G16" s="21"/>
      <c r="H16" s="20"/>
      <c r="I16" s="36"/>
      <c r="J16" s="300"/>
      <c r="K16" s="302"/>
      <c r="L16" s="302"/>
      <c r="M16" s="302"/>
      <c r="N16" s="242">
        <f t="shared" si="0"/>
        <v>0</v>
      </c>
      <c r="O16" s="12"/>
      <c r="S16" s="35" t="str">
        <f t="shared" si="4"/>
        <v>Enter data here</v>
      </c>
      <c r="T16" s="35" t="str">
        <f t="shared" si="5"/>
        <v>Use column to left</v>
      </c>
      <c r="U16" s="35" t="s">
        <v>1100</v>
      </c>
      <c r="V16" s="263" t="str">
        <f t="shared" si="1"/>
        <v>Unfilled fields to left</v>
      </c>
      <c r="X16" s="25"/>
      <c r="Y16" s="12"/>
    </row>
    <row r="17" spans="2:29">
      <c r="B17" s="16"/>
      <c r="C17" s="15"/>
      <c r="D17" s="179"/>
      <c r="E17" s="35"/>
      <c r="F17" s="21"/>
      <c r="G17" s="21"/>
      <c r="H17" s="20"/>
      <c r="I17" s="36"/>
      <c r="J17" s="300"/>
      <c r="K17" s="302"/>
      <c r="L17" s="302"/>
      <c r="M17" s="302"/>
      <c r="N17" s="242">
        <f t="shared" si="0"/>
        <v>0</v>
      </c>
      <c r="O17" s="12"/>
      <c r="S17" s="35" t="str">
        <f t="shared" si="4"/>
        <v/>
      </c>
      <c r="T17" s="35" t="str">
        <f t="shared" si="5"/>
        <v/>
      </c>
      <c r="U17" s="35"/>
      <c r="V17" s="263" t="str">
        <f t="shared" si="1"/>
        <v>Unfilled fields to left</v>
      </c>
      <c r="X17" s="25"/>
      <c r="Y17" s="12"/>
    </row>
    <row r="18" spans="2:29">
      <c r="C18" s="17"/>
      <c r="D18" s="17"/>
      <c r="E18" s="506"/>
      <c r="F18" s="26"/>
      <c r="G18" s="27"/>
      <c r="H18" s="22"/>
      <c r="I18" s="22"/>
      <c r="J18" s="41"/>
      <c r="K18" s="41"/>
      <c r="L18" s="41"/>
      <c r="M18" s="41"/>
      <c r="N18" s="41"/>
      <c r="O18" s="12"/>
      <c r="S18" s="41"/>
      <c r="T18" s="41"/>
      <c r="U18" s="41"/>
      <c r="V18" s="139"/>
      <c r="X18" s="27"/>
      <c r="Y18" s="12"/>
    </row>
    <row r="19" spans="2:29">
      <c r="B19" s="145" t="s">
        <v>1103</v>
      </c>
      <c r="C19" s="145"/>
      <c r="D19" s="145"/>
      <c r="E19" s="301"/>
      <c r="F19" s="145"/>
      <c r="G19" s="145"/>
      <c r="H19" s="145"/>
      <c r="I19" s="145"/>
      <c r="J19" s="301"/>
      <c r="K19" s="301"/>
      <c r="L19" s="301"/>
      <c r="M19" s="301"/>
      <c r="N19" s="301"/>
      <c r="R19"/>
      <c r="S19" s="40"/>
      <c r="T19" s="40"/>
      <c r="U19" s="40"/>
      <c r="V19" s="140"/>
      <c r="W19" s="19"/>
      <c r="X19" s="19"/>
      <c r="Y19" s="19"/>
      <c r="Z19" s="19"/>
      <c r="AA19" s="19"/>
      <c r="AB19" s="19"/>
      <c r="AC19" s="19"/>
    </row>
    <row r="20" spans="2:29">
      <c r="B20" s="16" t="s">
        <v>1104</v>
      </c>
      <c r="C20" s="184" t="s">
        <v>1215</v>
      </c>
      <c r="D20" s="179" t="s">
        <v>459</v>
      </c>
      <c r="E20" s="35"/>
      <c r="F20" s="24"/>
      <c r="G20" s="21"/>
      <c r="H20" s="21"/>
      <c r="I20" s="21"/>
      <c r="J20" s="300"/>
      <c r="K20" s="306"/>
      <c r="L20" s="306"/>
      <c r="M20" s="306"/>
      <c r="N20" s="242">
        <f t="shared" ref="N20:N31" si="6">IF($D20="MWh/yr (LHV)",$E20,$J20*$E20*(1-$L20)/Conversion_kWh_to_MJ)</f>
        <v>0</v>
      </c>
      <c r="O20" s="246" t="str">
        <f>IFERROR(N20/N8,"")</f>
        <v/>
      </c>
      <c r="Q20" s="515">
        <f>IF($D20="MWh/yr (LHV)",$E20,$E20*MAX(0, $J20*(1-$L20)-2.441*$L20)/Conversion_kWh_to_MJ)</f>
        <v>0</v>
      </c>
      <c r="R20" s="245" t="str">
        <f>IFERROR(Q20/(SUM($Q$20:$Q$22)),"")</f>
        <v/>
      </c>
      <c r="S20" s="42"/>
      <c r="T20" s="42"/>
      <c r="U20" s="42"/>
      <c r="V20" s="141"/>
      <c r="X20" s="21"/>
      <c r="Y20" s="12"/>
    </row>
    <row r="21" spans="2:29" s="14" customFormat="1">
      <c r="B21" s="186" t="s">
        <v>1008</v>
      </c>
      <c r="C21" s="184" t="s">
        <v>1106</v>
      </c>
      <c r="D21" s="179" t="s">
        <v>459</v>
      </c>
      <c r="E21" s="35"/>
      <c r="F21" s="21"/>
      <c r="G21" s="21"/>
      <c r="H21" s="20"/>
      <c r="I21" s="33"/>
      <c r="J21" s="300"/>
      <c r="K21" s="302"/>
      <c r="L21" s="302"/>
      <c r="M21" s="302"/>
      <c r="N21" s="242">
        <f t="shared" si="6"/>
        <v>0</v>
      </c>
      <c r="O21" s="12"/>
      <c r="P21" s="12"/>
      <c r="Q21" s="515">
        <f>IF($D21="MWh/yr (LHV)",$E21,$E21*MAX(0, $J21*(1-$L21)-2.441*$L21)/Conversion_kWh_to_MJ)</f>
        <v>0</v>
      </c>
      <c r="R21" s="245" t="str">
        <f t="shared" ref="R21:R22" si="7">IFERROR(Q21/(SUM($Q$20:$Q$22)),"")</f>
        <v/>
      </c>
      <c r="S21" s="42"/>
      <c r="T21" s="42"/>
      <c r="U21" s="107"/>
      <c r="V21" s="12"/>
      <c r="W21" s="23"/>
      <c r="X21" s="21"/>
      <c r="Y21" s="23"/>
      <c r="Z21" s="42"/>
      <c r="AB21" s="12"/>
    </row>
    <row r="22" spans="2:29" s="14" customFormat="1">
      <c r="B22" s="186" t="s">
        <v>1008</v>
      </c>
      <c r="C22" s="184" t="s">
        <v>1107</v>
      </c>
      <c r="D22" s="179" t="s">
        <v>459</v>
      </c>
      <c r="E22" s="35"/>
      <c r="F22" s="21"/>
      <c r="G22" s="21"/>
      <c r="H22" s="20"/>
      <c r="I22" s="20"/>
      <c r="J22" s="302"/>
      <c r="K22" s="302"/>
      <c r="L22" s="302"/>
      <c r="M22" s="302"/>
      <c r="N22" s="242">
        <f t="shared" si="6"/>
        <v>0</v>
      </c>
      <c r="O22" s="12"/>
      <c r="P22" s="12"/>
      <c r="Q22" s="515">
        <f>IF($D22="MWh/yr (LHV)",$E22,$E22*MAX(0, $J22*(1-$L22)-2.441*$L22)/Conversion_kWh_to_MJ)</f>
        <v>0</v>
      </c>
      <c r="R22" s="245" t="str">
        <f t="shared" si="7"/>
        <v/>
      </c>
      <c r="S22" s="42"/>
      <c r="T22" s="42"/>
      <c r="U22" s="107"/>
      <c r="V22" s="12"/>
      <c r="W22" s="23"/>
      <c r="X22" s="21"/>
      <c r="Y22" s="23"/>
      <c r="Z22" s="42"/>
      <c r="AB22" s="12"/>
    </row>
    <row r="23" spans="2:29" s="14" customFormat="1">
      <c r="B23" s="186" t="s">
        <v>1013</v>
      </c>
      <c r="C23" s="184" t="s">
        <v>1108</v>
      </c>
      <c r="D23" s="179" t="s">
        <v>459</v>
      </c>
      <c r="E23" s="35"/>
      <c r="F23" s="21"/>
      <c r="G23" s="21"/>
      <c r="H23" s="20"/>
      <c r="I23" s="20"/>
      <c r="J23" s="302"/>
      <c r="K23" s="302"/>
      <c r="L23" s="302"/>
      <c r="M23" s="302"/>
      <c r="N23" s="242">
        <f t="shared" si="6"/>
        <v>0</v>
      </c>
      <c r="O23" s="12"/>
      <c r="P23" s="12"/>
      <c r="Q23" s="12"/>
      <c r="R23" s="12"/>
      <c r="S23" s="107"/>
      <c r="T23" s="107"/>
      <c r="U23" s="107"/>
      <c r="V23" s="12"/>
      <c r="W23" s="23"/>
      <c r="X23" s="21"/>
      <c r="Y23" s="23"/>
      <c r="Z23" s="42"/>
      <c r="AB23" s="12"/>
    </row>
    <row r="24" spans="2:29" s="14" customFormat="1">
      <c r="B24" s="186" t="s">
        <v>1013</v>
      </c>
      <c r="C24" s="184" t="s">
        <v>1015</v>
      </c>
      <c r="D24" s="179" t="s">
        <v>459</v>
      </c>
      <c r="E24" s="35"/>
      <c r="F24" s="21"/>
      <c r="G24" s="21"/>
      <c r="H24" s="20"/>
      <c r="I24" s="20"/>
      <c r="J24" s="302"/>
      <c r="K24" s="302"/>
      <c r="L24" s="302"/>
      <c r="M24" s="302"/>
      <c r="N24" s="242">
        <f t="shared" si="6"/>
        <v>0</v>
      </c>
      <c r="O24" s="12"/>
      <c r="P24" s="12"/>
      <c r="Q24" s="12"/>
      <c r="R24" s="12"/>
      <c r="S24" s="107"/>
      <c r="T24" s="107"/>
      <c r="U24" s="107"/>
      <c r="V24" s="12"/>
      <c r="W24" s="23"/>
      <c r="X24" s="21"/>
      <c r="Y24" s="23"/>
      <c r="Z24" s="42"/>
      <c r="AB24" s="12"/>
    </row>
    <row r="25" spans="2:29" s="14" customFormat="1">
      <c r="B25" s="186" t="s">
        <v>1016</v>
      </c>
      <c r="C25" s="184" t="s">
        <v>1017</v>
      </c>
      <c r="D25" s="179" t="s">
        <v>459</v>
      </c>
      <c r="E25" s="35"/>
      <c r="F25" s="21"/>
      <c r="G25" s="21"/>
      <c r="H25" s="20"/>
      <c r="I25" s="36"/>
      <c r="J25" s="300"/>
      <c r="K25" s="302"/>
      <c r="L25" s="302"/>
      <c r="M25" s="302"/>
      <c r="N25" s="242">
        <f t="shared" si="6"/>
        <v>0</v>
      </c>
      <c r="O25" s="12"/>
      <c r="P25" s="12"/>
      <c r="Q25" s="12"/>
      <c r="R25" s="12"/>
      <c r="S25" s="107"/>
      <c r="T25" s="107"/>
      <c r="U25" s="107"/>
      <c r="V25" s="12"/>
      <c r="X25" s="21"/>
    </row>
    <row r="26" spans="2:29" s="14" customFormat="1">
      <c r="B26" s="186" t="s">
        <v>1016</v>
      </c>
      <c r="C26" s="184" t="s">
        <v>1018</v>
      </c>
      <c r="D26" s="179" t="s">
        <v>459</v>
      </c>
      <c r="E26" s="35"/>
      <c r="F26" s="21"/>
      <c r="G26" s="21"/>
      <c r="H26" s="20"/>
      <c r="I26" s="36"/>
      <c r="J26" s="300"/>
      <c r="K26" s="302"/>
      <c r="L26" s="302"/>
      <c r="M26" s="302"/>
      <c r="N26" s="242">
        <f t="shared" si="6"/>
        <v>0</v>
      </c>
      <c r="O26" s="12"/>
      <c r="P26" s="12"/>
      <c r="Q26" s="12"/>
      <c r="R26" s="12"/>
      <c r="S26" s="107"/>
      <c r="T26" s="107"/>
      <c r="U26" s="107"/>
      <c r="V26" s="12"/>
      <c r="X26" s="21"/>
    </row>
    <row r="27" spans="2:29" s="14" customFormat="1">
      <c r="B27" s="186" t="s">
        <v>1057</v>
      </c>
      <c r="C27" s="184" t="s">
        <v>1182</v>
      </c>
      <c r="D27" s="179" t="s">
        <v>459</v>
      </c>
      <c r="E27" s="35"/>
      <c r="F27" s="34"/>
      <c r="G27" s="21"/>
      <c r="H27" s="20"/>
      <c r="I27" s="36"/>
      <c r="J27" s="300"/>
      <c r="K27" s="302"/>
      <c r="L27" s="302"/>
      <c r="M27" s="302"/>
      <c r="N27" s="242">
        <f t="shared" si="6"/>
        <v>0</v>
      </c>
      <c r="O27" s="12"/>
      <c r="P27" s="12"/>
      <c r="Q27" s="12"/>
      <c r="R27" s="12"/>
      <c r="S27" s="35">
        <v>1000</v>
      </c>
      <c r="T27" s="518"/>
      <c r="U27" s="35" t="s">
        <v>1118</v>
      </c>
      <c r="V27" s="263" t="str">
        <f>IFERROR(IF(D27="tonnes/yr", $S27*$E27/($N$20*3.6), $T27*$E27*3.6/($N$20*3.6)), "Unfilled fields to left")</f>
        <v>Unfilled fields to left</v>
      </c>
      <c r="X27" s="21"/>
    </row>
    <row r="28" spans="2:29" s="14" customFormat="1">
      <c r="B28" s="186" t="s">
        <v>1113</v>
      </c>
      <c r="C28" s="184" t="s">
        <v>1073</v>
      </c>
      <c r="D28" s="179" t="s">
        <v>459</v>
      </c>
      <c r="E28" s="35"/>
      <c r="F28" s="34"/>
      <c r="G28" s="21"/>
      <c r="H28" s="20"/>
      <c r="I28" s="36"/>
      <c r="J28" s="300"/>
      <c r="K28" s="302"/>
      <c r="L28" s="302"/>
      <c r="M28" s="302"/>
      <c r="N28" s="242">
        <f t="shared" si="6"/>
        <v>0</v>
      </c>
      <c r="O28" s="12"/>
      <c r="P28" s="12"/>
      <c r="Q28" s="12"/>
      <c r="R28" s="12"/>
      <c r="S28" s="35">
        <v>28000</v>
      </c>
      <c r="T28" s="518"/>
      <c r="U28" s="35" t="s">
        <v>1059</v>
      </c>
      <c r="V28" s="263" t="str">
        <f>IFERROR(IF(D28="tonnes/yr", $S28*$E28/($N$20*3.6), $T28*$E28*3.6/($N$20*3.6)), "Unfilled fields to left")</f>
        <v>Unfilled fields to left</v>
      </c>
      <c r="X28" s="21"/>
    </row>
    <row r="29" spans="2:29" s="14" customFormat="1">
      <c r="B29" s="186" t="s">
        <v>1113</v>
      </c>
      <c r="C29" s="184" t="s">
        <v>1075</v>
      </c>
      <c r="D29" s="179" t="s">
        <v>459</v>
      </c>
      <c r="E29" s="35"/>
      <c r="F29" s="24"/>
      <c r="G29" s="21"/>
      <c r="H29" s="20"/>
      <c r="I29" s="36"/>
      <c r="J29" s="300"/>
      <c r="K29" s="302"/>
      <c r="L29" s="302"/>
      <c r="M29" s="302"/>
      <c r="N29" s="242">
        <f t="shared" si="6"/>
        <v>0</v>
      </c>
      <c r="O29" s="12"/>
      <c r="P29" s="12"/>
      <c r="Q29" s="12"/>
      <c r="R29" s="12"/>
      <c r="S29" s="35">
        <v>265000</v>
      </c>
      <c r="T29" s="518"/>
      <c r="U29" s="35" t="s">
        <v>1059</v>
      </c>
      <c r="V29" s="263" t="str">
        <f>IFERROR(IF(D29="tonnes/yr", $S29*$E29/($N$20*3.6), $T29*$E29*3.6/($N$20*3.6)), "Unfilled fields to left")</f>
        <v>Unfilled fields to left</v>
      </c>
      <c r="X29" s="21"/>
    </row>
    <row r="30" spans="2:29" s="14" customFormat="1">
      <c r="B30" s="16"/>
      <c r="C30" s="15"/>
      <c r="D30" s="179"/>
      <c r="E30" s="35"/>
      <c r="F30" s="21"/>
      <c r="G30" s="21"/>
      <c r="H30" s="20"/>
      <c r="I30" s="36"/>
      <c r="J30" s="300"/>
      <c r="K30" s="302"/>
      <c r="L30" s="302"/>
      <c r="M30" s="302"/>
      <c r="N30" s="242">
        <f t="shared" si="6"/>
        <v>0</v>
      </c>
      <c r="O30" s="12"/>
      <c r="P30" s="12"/>
      <c r="Q30" s="12"/>
      <c r="R30" s="12"/>
      <c r="S30" s="300"/>
      <c r="T30" s="477"/>
      <c r="U30" s="302"/>
      <c r="V30" s="263" t="str">
        <f>IFERROR(IF(D30="tonnes/yr", $S30*$E30/($N$20*3.6), $T30*$E30*3.6/($N$20*3.6)), "Unfilled fields to left")</f>
        <v>Unfilled fields to left</v>
      </c>
      <c r="X30" s="21"/>
    </row>
    <row r="31" spans="2:29" s="14" customFormat="1">
      <c r="B31" s="16"/>
      <c r="C31" s="15"/>
      <c r="D31" s="179"/>
      <c r="E31" s="35"/>
      <c r="F31" s="21"/>
      <c r="G31" s="21"/>
      <c r="H31" s="20"/>
      <c r="I31" s="36"/>
      <c r="J31" s="300"/>
      <c r="K31" s="302"/>
      <c r="L31" s="302"/>
      <c r="M31" s="302"/>
      <c r="N31" s="242">
        <f t="shared" si="6"/>
        <v>0</v>
      </c>
      <c r="O31" s="12"/>
      <c r="P31" s="12"/>
      <c r="Q31" s="12"/>
      <c r="R31" s="12"/>
      <c r="S31" s="300"/>
      <c r="T31" s="477"/>
      <c r="U31" s="302"/>
      <c r="V31" s="263" t="str">
        <f>IFERROR(IF(D31="tonnes/yr", $S31*$E31/($N$20*3.6), $T31*$E31*3.6/($N$20*3.6)), "Unfilled fields to left")</f>
        <v>Unfilled fields to left</v>
      </c>
      <c r="X31" s="21"/>
    </row>
    <row r="32" spans="2:29">
      <c r="C32" s="17"/>
      <c r="D32" s="17"/>
      <c r="E32" s="140"/>
      <c r="F32" s="17"/>
      <c r="H32" s="18"/>
      <c r="I32" s="18"/>
      <c r="J32" s="40"/>
      <c r="K32" s="40"/>
      <c r="L32" s="40"/>
      <c r="M32" s="40"/>
      <c r="N32" s="40"/>
      <c r="O32" s="12"/>
      <c r="S32" s="40"/>
      <c r="T32" s="40"/>
      <c r="U32" s="40"/>
      <c r="V32" s="140"/>
      <c r="Y32" s="12"/>
    </row>
    <row r="33" spans="2:25">
      <c r="D33" s="17"/>
      <c r="E33" s="140"/>
      <c r="J33" s="39"/>
      <c r="K33" s="39"/>
      <c r="L33" s="39"/>
      <c r="M33" s="39"/>
      <c r="O33" s="12"/>
      <c r="S33" s="39"/>
      <c r="T33" s="39"/>
      <c r="U33" s="38" t="s">
        <v>1114</v>
      </c>
      <c r="V33" s="153">
        <f>SUM(V7:V32)</f>
        <v>0</v>
      </c>
      <c r="Y33" s="12"/>
    </row>
    <row r="34" spans="2:25">
      <c r="B34" s="145" t="s">
        <v>132</v>
      </c>
      <c r="C34" s="159"/>
      <c r="D34" s="159"/>
      <c r="E34" s="499"/>
      <c r="I34" s="12"/>
      <c r="J34" s="107"/>
      <c r="K34" s="107"/>
      <c r="L34" s="107"/>
      <c r="M34" s="107"/>
      <c r="N34" s="107"/>
      <c r="O34" s="12"/>
      <c r="S34" s="107"/>
      <c r="T34" s="107"/>
      <c r="U34" s="107"/>
      <c r="Y34" s="12"/>
    </row>
    <row r="35" spans="2:25">
      <c r="B35" s="16" t="s">
        <v>1086</v>
      </c>
      <c r="C35" s="15" t="s">
        <v>1087</v>
      </c>
      <c r="D35" s="15" t="s">
        <v>1088</v>
      </c>
      <c r="E35" s="501"/>
      <c r="G35" s="19"/>
      <c r="H35" s="12"/>
      <c r="I35" s="12"/>
      <c r="J35" s="107"/>
      <c r="K35" s="107"/>
      <c r="L35" s="107"/>
      <c r="M35" s="107"/>
      <c r="N35" s="107"/>
      <c r="O35" s="12"/>
      <c r="S35" s="107"/>
      <c r="T35" s="107"/>
      <c r="U35" s="107"/>
      <c r="V35" s="12"/>
      <c r="X35" s="25"/>
      <c r="Y35" s="12"/>
    </row>
    <row r="36" spans="2:25">
      <c r="B36" s="16"/>
      <c r="C36" s="15"/>
      <c r="D36" s="15"/>
      <c r="E36" s="507"/>
      <c r="H36" s="12"/>
      <c r="I36" s="12"/>
      <c r="J36" s="107"/>
      <c r="K36" s="107"/>
      <c r="L36" s="107"/>
      <c r="M36" s="107"/>
      <c r="N36" s="107"/>
      <c r="O36" s="12"/>
      <c r="S36" s="107"/>
      <c r="T36" s="107"/>
      <c r="U36" s="107"/>
      <c r="V36" s="12"/>
      <c r="X36" s="25"/>
      <c r="Y36" s="12"/>
    </row>
    <row r="37" spans="2:25">
      <c r="B37" s="16"/>
      <c r="C37" s="15"/>
      <c r="D37" s="15"/>
      <c r="E37" s="507"/>
      <c r="J37" s="39"/>
      <c r="K37" s="39"/>
      <c r="L37" s="39"/>
      <c r="M37" s="39"/>
      <c r="S37" s="39"/>
      <c r="T37" s="39"/>
      <c r="U37" s="39"/>
      <c r="X37" s="25"/>
    </row>
    <row r="38" spans="2:25">
      <c r="B38" s="16"/>
      <c r="C38" s="15"/>
      <c r="D38" s="15"/>
      <c r="E38" s="507"/>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Q6" activePane="bottomRight" state="frozen"/>
      <selection pane="bottomRight" activeCell="D2" sqref="D2"/>
      <pageMargins left="0" right="0" top="0" bottom="0" header="0" footer="0"/>
      <pageSetup paperSize="9" orientation="portrait" r:id="rId4"/>
    </customSheetView>
    <customSheetView guid="{E6EFD927-84B2-4D06-BB59-59D9DF522DA2}" showGridLines="0">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Q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8D80B4DC-6E04-4014-9DEE-F1140D090844}">
      <formula1>Flow_units</formula1>
    </dataValidation>
    <dataValidation type="custom" allowBlank="1" showInputMessage="1" showErrorMessage="1" error="Please do not change this formula" prompt="Please do not change this formula" sqref="V6:V1048576 W4 V1:V4 R6:R19 P1:R4 Q23:R1048576 N1:N7 N18:N19 P21:P1048576 N32:N1048576 O4 O6:O19 S5:V5" xr:uid="{8C07081E-5C34-4230-B715-F813AA0549FF}">
      <formula1>"Please do not change this formula"</formula1>
    </dataValidation>
    <dataValidation type="custom" allowBlank="1" showInputMessage="1" showErrorMessage="1" error="Please do not change this formula" sqref="Q20:Q22 N8:N17 N20:N31 O20 O5:R5" xr:uid="{5B1FEEFA-565E-403B-91F5-AC34660EC076}">
      <formula1>"Please do not change this formula"</formula1>
    </dataValidation>
    <dataValidation type="custom" allowBlank="1" showInputMessage="1" showErrorMessage="1" error="Please do not change" sqref="R20:R22" xr:uid="{A51861B7-D097-4A2A-8084-3D7B42D328AD}">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4F3EFB14-5861-4DE1-AF01-0EFC178DA070}">
      <formula1>0</formula1>
    </dataValidation>
  </dataValidations>
  <hyperlinks>
    <hyperlink ref="I2:J2" location="'Biomass Transport'!A1" display="Go to the next step of this pathway" xr:uid="{77ABACC9-2A6A-4FF2-9F22-863C7A3780DA}"/>
    <hyperlink ref="I2:K2" location="Biomass_Collection!A1" display="Go to the next step of this pathway" xr:uid="{23DB318D-ADA7-4F76-8654-DA173D549DBD}"/>
  </hyperlinks>
  <pageMargins left="0" right="0" top="0" bottom="0" header="0" footer="0"/>
  <pageSetup paperSize="9" orientation="portrait" r:id="rId10"/>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209" id="{00000000-000E-0000-2B00-0000D1000000}">
            <xm:f>AND(Path&lt;&gt;Units!$B$135,Path&lt;&gt;Units!$B$136,Master_Switch="On")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210" id="{E01E4553-8278-4D07-B3B4-29BD62A0A51E}">
            <xm:f>AND(Initial_questions!$E$68&lt;&gt;"Cereals and other starch-rich crops", Initial_questions!$E$68&lt;&gt;"Sugar crops", Initial_questions!$E$68&lt;&gt;"Oil crops", Initial_questions!$E$68&lt;&gt;"Other crop/purpose grown feedstock",Master_Switch="On")</xm:f>
            <x14:dxf>
              <font>
                <color theme="0"/>
              </font>
              <fill>
                <patternFill>
                  <bgColor theme="0"/>
                </patternFill>
              </fill>
              <border>
                <left/>
                <right/>
                <top/>
                <bottom/>
              </border>
            </x14:dxf>
          </x14:cfRule>
          <xm:sqref>A3:XFD200</xm:sqref>
        </x14:conditionalFormatting>
      </x14:conditionalFormatting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227F1-A303-4CFF-A3E2-2950B5DC72C4}">
  <sheetPr codeName="Sheet29">
    <tabColor rgb="FFCCFF66"/>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55"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18.453125" customWidth="1"/>
    <col min="16" max="16" width="8.1796875" style="12" customWidth="1"/>
    <col min="17" max="17" width="18.81640625" style="12" customWidth="1"/>
    <col min="18" max="18" width="17.54296875" style="12" customWidth="1"/>
    <col min="19" max="20" width="20.7265625" style="13" customWidth="1"/>
    <col min="21" max="21" width="22.7265625" style="13" customWidth="1"/>
    <col min="22" max="22" width="20.26953125" style="39" customWidth="1"/>
    <col min="23" max="23" width="7.1796875" style="12" customWidth="1"/>
    <col min="24" max="24" width="26" style="12" customWidth="1"/>
    <col min="26" max="16384" width="7.1796875" style="12"/>
  </cols>
  <sheetData>
    <row r="1" spans="1:29" ht="31.9" customHeight="1">
      <c r="A1" s="80" t="str">
        <f>IF(AND(Path&lt;&gt;Units!$B$135,Path&lt;&gt;Units!$B$136,Master_Switch="On"),"User should not fill in this sheet, but switch to other non-blank GHG worksheets","")</f>
        <v>User should not fill in this sheet, but switch to other non-blank GHG worksheets</v>
      </c>
      <c r="E1" s="256"/>
    </row>
    <row r="2" spans="1:29" ht="20.5" customHeight="1">
      <c r="B2" s="80" t="str">
        <f>IF(AND(GHG_BIOMASS_GASIFICATION!$D$5="Default",Master_Switch="On"),"Default data selected for this step, move to the next step of the pathway","")</f>
        <v/>
      </c>
      <c r="E2" s="256"/>
      <c r="I2" s="729" t="s">
        <v>1093</v>
      </c>
      <c r="J2" s="731"/>
      <c r="K2" s="732"/>
      <c r="L2" s="39"/>
      <c r="M2" s="39"/>
    </row>
    <row r="3" spans="1:29" ht="15" customHeight="1">
      <c r="E3" s="256"/>
    </row>
    <row r="4" spans="1:29" ht="15.65" customHeight="1" thickBot="1">
      <c r="B4" s="3"/>
      <c r="C4" s="3"/>
      <c r="D4" s="3"/>
      <c r="E4" s="455"/>
      <c r="F4" s="3"/>
      <c r="G4" s="3"/>
      <c r="H4" s="1"/>
      <c r="I4" s="1"/>
      <c r="J4" s="1"/>
      <c r="K4" s="1"/>
      <c r="L4" s="1"/>
      <c r="M4" s="1"/>
      <c r="N4" s="37"/>
      <c r="O4" s="1"/>
      <c r="P4" s="3"/>
      <c r="Q4" s="3"/>
      <c r="R4" s="3"/>
      <c r="S4" s="1"/>
      <c r="T4" s="1"/>
      <c r="U4" s="1"/>
      <c r="V4" s="37"/>
      <c r="W4" s="37"/>
      <c r="X4" s="3"/>
    </row>
    <row r="5" spans="1:29"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9" ht="15" thickTop="1">
      <c r="E6" s="457"/>
      <c r="R6"/>
      <c r="S6"/>
      <c r="T6"/>
      <c r="U6"/>
      <c r="V6"/>
    </row>
    <row r="7" spans="1:29">
      <c r="B7" s="145" t="s">
        <v>1097</v>
      </c>
      <c r="C7" s="145"/>
      <c r="D7" s="145"/>
      <c r="E7" s="324"/>
      <c r="F7" s="145"/>
      <c r="G7" s="145"/>
      <c r="H7" s="145"/>
      <c r="I7" s="145"/>
      <c r="J7" s="145"/>
      <c r="K7" s="145"/>
      <c r="L7" s="145"/>
      <c r="M7" s="145"/>
      <c r="N7" s="301"/>
      <c r="R7"/>
      <c r="S7"/>
      <c r="T7"/>
      <c r="U7"/>
      <c r="V7"/>
      <c r="W7" s="19"/>
      <c r="X7" s="19"/>
      <c r="Y7" s="19"/>
      <c r="Z7" s="19"/>
      <c r="AA7" s="19"/>
      <c r="AB7" s="19"/>
      <c r="AC7" s="19"/>
    </row>
    <row r="8" spans="1:29">
      <c r="B8" s="16" t="s">
        <v>1115</v>
      </c>
      <c r="C8" s="184" t="s">
        <v>1216</v>
      </c>
      <c r="D8" s="179" t="s">
        <v>459</v>
      </c>
      <c r="E8" s="35"/>
      <c r="F8" s="24"/>
      <c r="G8" s="21"/>
      <c r="H8" s="20"/>
      <c r="I8" s="20"/>
      <c r="J8" s="300"/>
      <c r="K8" s="302"/>
      <c r="L8" s="302"/>
      <c r="M8" s="302"/>
      <c r="N8" s="242">
        <f t="shared" ref="N8:N17" si="0">IF($D8="MWh/yr (LHV)",$E8,$J8*$E8*(1-$L8)/Conversion_kWh_to_MJ)</f>
        <v>0</v>
      </c>
      <c r="O8" s="12"/>
      <c r="S8" s="107"/>
      <c r="T8" s="107"/>
      <c r="U8" s="107"/>
      <c r="V8" s="12"/>
      <c r="X8" s="24"/>
      <c r="Y8" s="12"/>
    </row>
    <row r="9" spans="1:29">
      <c r="B9" s="186" t="s">
        <v>1021</v>
      </c>
      <c r="C9" s="184" t="s">
        <v>1098</v>
      </c>
      <c r="D9" s="179" t="s">
        <v>479</v>
      </c>
      <c r="E9" s="35"/>
      <c r="F9" s="24"/>
      <c r="G9" s="21"/>
      <c r="H9" s="20"/>
      <c r="I9" s="36"/>
      <c r="J9" s="300"/>
      <c r="K9" s="302"/>
      <c r="L9" s="302"/>
      <c r="M9" s="302"/>
      <c r="N9" s="242">
        <f t="shared" si="0"/>
        <v>0</v>
      </c>
      <c r="O9" s="12"/>
      <c r="S9" s="35" t="str">
        <f>IF(B9="", "", IF(D9="MWh/yr (LHV)", "Use column to right", "Enter data here"))</f>
        <v>Use column to right</v>
      </c>
      <c r="T9" s="35" t="e">
        <f>INDEX(Proj_grid_intensity_kWh,MATCH(Operations_year,Proj_grid_year,0))/Conversion_kWh_to_MJ</f>
        <v>#N/A</v>
      </c>
      <c r="U9" s="35" t="s">
        <v>1064</v>
      </c>
      <c r="V9" s="242" t="str">
        <f t="shared" ref="V9:V17" si="1">IFERROR(IF(D9="tonnes/yr", $S9*$E9/($N$20*3.6), $T9*$E9*3.6/($N$20*3.6)), "Unfilled fields to left")</f>
        <v>Unfilled fields to left</v>
      </c>
      <c r="X9" s="25"/>
      <c r="Y9" s="12"/>
    </row>
    <row r="10" spans="1:29">
      <c r="B10" s="186" t="s">
        <v>1021</v>
      </c>
      <c r="C10" s="184"/>
      <c r="D10" s="179"/>
      <c r="E10" s="35"/>
      <c r="F10" s="24"/>
      <c r="G10" s="21"/>
      <c r="H10" s="20"/>
      <c r="I10" s="36"/>
      <c r="J10" s="300"/>
      <c r="K10" s="302"/>
      <c r="L10" s="302"/>
      <c r="M10" s="302"/>
      <c r="N10" s="242">
        <f t="shared" si="0"/>
        <v>0</v>
      </c>
      <c r="O10" s="12"/>
      <c r="S10" s="35" t="str">
        <f t="shared" ref="S10" si="2">IF(B10="", "", IF(D10="MWh/yr (LHV)", "Use column to right", "Enter data here"))</f>
        <v>Enter data here</v>
      </c>
      <c r="T10" s="35" t="str">
        <f t="shared" ref="T10" si="3">IF(B10="", "", IF(D10="MWh/yr (LHV)", "Enter data here", "Use column to left"))</f>
        <v>Use column to left</v>
      </c>
      <c r="U10" s="35" t="s">
        <v>1100</v>
      </c>
      <c r="V10" s="242" t="str">
        <f t="shared" si="1"/>
        <v>Unfilled fields to left</v>
      </c>
      <c r="X10" s="25"/>
      <c r="Y10" s="12"/>
    </row>
    <row r="11" spans="1:29">
      <c r="B11" s="186" t="s">
        <v>1042</v>
      </c>
      <c r="C11" s="184" t="s">
        <v>1043</v>
      </c>
      <c r="D11" s="179" t="s">
        <v>459</v>
      </c>
      <c r="E11" s="35"/>
      <c r="F11" s="35"/>
      <c r="G11" s="21"/>
      <c r="H11" s="20"/>
      <c r="I11" s="36"/>
      <c r="J11" s="300"/>
      <c r="K11" s="302"/>
      <c r="L11" s="302"/>
      <c r="M11" s="302"/>
      <c r="N11" s="242">
        <f t="shared" si="0"/>
        <v>0</v>
      </c>
      <c r="O11" s="12"/>
      <c r="S11" s="35" t="str">
        <f t="shared" ref="S11:S17" si="4">IF(B11="", "", IF(D11="MWh/yr (LHV)", "Use column to right", "Enter data here"))</f>
        <v>Enter data here</v>
      </c>
      <c r="T11" s="35" t="str">
        <f t="shared" ref="T11:T17" si="5">IF(B11="", "", IF(D11="MWh/yr (LHV)", "Enter data here", "Use column to left"))</f>
        <v>Use column to left</v>
      </c>
      <c r="U11" s="35" t="s">
        <v>1100</v>
      </c>
      <c r="V11" s="242" t="str">
        <f t="shared" si="1"/>
        <v>Unfilled fields to left</v>
      </c>
      <c r="W11" s="91"/>
      <c r="X11" s="25"/>
      <c r="Y11" s="12"/>
    </row>
    <row r="12" spans="1:29">
      <c r="B12" s="186" t="s">
        <v>1042</v>
      </c>
      <c r="C12" s="184" t="s">
        <v>1045</v>
      </c>
      <c r="D12" s="179" t="s">
        <v>459</v>
      </c>
      <c r="E12" s="35"/>
      <c r="F12" s="21"/>
      <c r="G12" s="21"/>
      <c r="H12" s="20"/>
      <c r="I12" s="36"/>
      <c r="J12" s="300"/>
      <c r="K12" s="302"/>
      <c r="L12" s="302"/>
      <c r="M12" s="302"/>
      <c r="N12" s="242">
        <f t="shared" si="0"/>
        <v>0</v>
      </c>
      <c r="O12" s="12"/>
      <c r="S12" s="35" t="str">
        <f t="shared" si="4"/>
        <v>Enter data here</v>
      </c>
      <c r="T12" s="35" t="str">
        <f t="shared" si="5"/>
        <v>Use column to left</v>
      </c>
      <c r="U12" s="35" t="s">
        <v>1100</v>
      </c>
      <c r="V12" s="242" t="str">
        <f t="shared" si="1"/>
        <v>Unfilled fields to left</v>
      </c>
      <c r="X12" s="25"/>
      <c r="Y12" s="12"/>
    </row>
    <row r="13" spans="1:29">
      <c r="B13" s="186" t="s">
        <v>1051</v>
      </c>
      <c r="C13" s="184" t="s">
        <v>1010</v>
      </c>
      <c r="D13" s="179" t="s">
        <v>459</v>
      </c>
      <c r="E13" s="35"/>
      <c r="F13" s="21"/>
      <c r="G13" s="21"/>
      <c r="H13" s="20"/>
      <c r="I13" s="36"/>
      <c r="J13" s="300"/>
      <c r="K13" s="302"/>
      <c r="L13" s="302"/>
      <c r="M13" s="302"/>
      <c r="N13" s="242">
        <f t="shared" si="0"/>
        <v>0</v>
      </c>
      <c r="O13" s="12"/>
      <c r="S13" s="35" t="str">
        <f t="shared" si="4"/>
        <v>Enter data here</v>
      </c>
      <c r="T13" s="35" t="str">
        <f t="shared" si="5"/>
        <v>Use column to left</v>
      </c>
      <c r="U13" s="35" t="s">
        <v>1100</v>
      </c>
      <c r="V13" s="242" t="str">
        <f t="shared" si="1"/>
        <v>Unfilled fields to left</v>
      </c>
      <c r="X13" s="25"/>
      <c r="Y13" s="12"/>
    </row>
    <row r="14" spans="1:29">
      <c r="B14" s="186" t="s">
        <v>1051</v>
      </c>
      <c r="C14" s="184" t="s">
        <v>1101</v>
      </c>
      <c r="D14" s="179" t="s">
        <v>459</v>
      </c>
      <c r="E14" s="35"/>
      <c r="F14" s="21"/>
      <c r="G14" s="21"/>
      <c r="H14" s="20"/>
      <c r="I14" s="36"/>
      <c r="J14" s="300"/>
      <c r="K14" s="302"/>
      <c r="L14" s="302"/>
      <c r="M14" s="302"/>
      <c r="N14" s="242">
        <f t="shared" si="0"/>
        <v>0</v>
      </c>
      <c r="O14" s="12"/>
      <c r="S14" s="35" t="str">
        <f t="shared" si="4"/>
        <v>Enter data here</v>
      </c>
      <c r="T14" s="35" t="str">
        <f t="shared" si="5"/>
        <v>Use column to left</v>
      </c>
      <c r="U14" s="35" t="s">
        <v>1100</v>
      </c>
      <c r="V14" s="242" t="str">
        <f t="shared" si="1"/>
        <v>Unfilled fields to left</v>
      </c>
      <c r="X14" s="25"/>
      <c r="Y14" s="12"/>
    </row>
    <row r="15" spans="1:29">
      <c r="B15" s="186" t="s">
        <v>1177</v>
      </c>
      <c r="C15" s="184" t="s">
        <v>1055</v>
      </c>
      <c r="D15" s="179" t="s">
        <v>459</v>
      </c>
      <c r="E15" s="35"/>
      <c r="F15" s="21"/>
      <c r="G15" s="21"/>
      <c r="H15" s="20"/>
      <c r="I15" s="36"/>
      <c r="J15" s="300"/>
      <c r="K15" s="302"/>
      <c r="L15" s="302"/>
      <c r="M15" s="302"/>
      <c r="N15" s="242">
        <f t="shared" si="0"/>
        <v>0</v>
      </c>
      <c r="O15" s="12"/>
      <c r="S15" s="35" t="str">
        <f t="shared" si="4"/>
        <v>Enter data here</v>
      </c>
      <c r="T15" s="35" t="str">
        <f t="shared" si="5"/>
        <v>Use column to left</v>
      </c>
      <c r="U15" s="35" t="s">
        <v>1100</v>
      </c>
      <c r="V15" s="242" t="str">
        <f t="shared" si="1"/>
        <v>Unfilled fields to left</v>
      </c>
      <c r="X15" s="25"/>
      <c r="Y15" s="12"/>
    </row>
    <row r="16" spans="1:29">
      <c r="B16" s="186" t="s">
        <v>1177</v>
      </c>
      <c r="C16" s="184" t="s">
        <v>1213</v>
      </c>
      <c r="D16" s="179" t="s">
        <v>459</v>
      </c>
      <c r="E16" s="35"/>
      <c r="F16" s="21"/>
      <c r="G16" s="21"/>
      <c r="H16" s="20"/>
      <c r="I16" s="36"/>
      <c r="J16" s="300"/>
      <c r="K16" s="302"/>
      <c r="L16" s="302"/>
      <c r="M16" s="302"/>
      <c r="N16" s="242">
        <f t="shared" si="0"/>
        <v>0</v>
      </c>
      <c r="O16" s="12"/>
      <c r="S16" s="35" t="str">
        <f t="shared" si="4"/>
        <v>Enter data here</v>
      </c>
      <c r="T16" s="35" t="str">
        <f t="shared" si="5"/>
        <v>Use column to left</v>
      </c>
      <c r="U16" s="35" t="s">
        <v>1100</v>
      </c>
      <c r="V16" s="242" t="str">
        <f t="shared" si="1"/>
        <v>Unfilled fields to left</v>
      </c>
      <c r="X16" s="25"/>
      <c r="Y16" s="12"/>
    </row>
    <row r="17" spans="2:29">
      <c r="B17" s="16"/>
      <c r="C17" s="15"/>
      <c r="D17" s="179"/>
      <c r="E17" s="35"/>
      <c r="F17" s="21"/>
      <c r="G17" s="21"/>
      <c r="H17" s="20"/>
      <c r="I17" s="36"/>
      <c r="J17" s="300"/>
      <c r="K17" s="302"/>
      <c r="L17" s="302"/>
      <c r="M17" s="302"/>
      <c r="N17" s="242">
        <f t="shared" si="0"/>
        <v>0</v>
      </c>
      <c r="O17" s="12"/>
      <c r="S17" s="35" t="str">
        <f t="shared" si="4"/>
        <v/>
      </c>
      <c r="T17" s="35" t="str">
        <f t="shared" si="5"/>
        <v/>
      </c>
      <c r="U17" s="35"/>
      <c r="V17" s="242" t="str">
        <f t="shared" si="1"/>
        <v>Unfilled fields to left</v>
      </c>
      <c r="X17" s="25"/>
      <c r="Y17" s="12"/>
    </row>
    <row r="18" spans="2:29">
      <c r="C18" s="17"/>
      <c r="D18" s="17"/>
      <c r="E18" s="506"/>
      <c r="F18" s="26"/>
      <c r="G18" s="27"/>
      <c r="H18" s="22"/>
      <c r="I18" s="22"/>
      <c r="J18" s="41"/>
      <c r="K18" s="41"/>
      <c r="L18" s="41"/>
      <c r="M18" s="41"/>
      <c r="N18" s="41"/>
      <c r="O18" s="12"/>
      <c r="S18" s="41"/>
      <c r="T18" s="41"/>
      <c r="U18" s="41"/>
      <c r="V18" s="41"/>
      <c r="X18" s="27"/>
      <c r="Y18" s="12"/>
    </row>
    <row r="19" spans="2:29">
      <c r="B19" s="145" t="s">
        <v>1103</v>
      </c>
      <c r="C19" s="145"/>
      <c r="D19" s="145"/>
      <c r="E19" s="301"/>
      <c r="F19" s="145"/>
      <c r="G19" s="145"/>
      <c r="H19" s="145"/>
      <c r="I19" s="145"/>
      <c r="J19" s="301"/>
      <c r="K19" s="301"/>
      <c r="L19" s="301"/>
      <c r="M19" s="301"/>
      <c r="N19" s="301"/>
      <c r="R19"/>
      <c r="S19" s="40"/>
      <c r="T19" s="40"/>
      <c r="U19" s="40"/>
      <c r="V19" s="40"/>
      <c r="W19" s="19"/>
      <c r="X19" s="19"/>
      <c r="Y19" s="19"/>
      <c r="Z19" s="19"/>
      <c r="AA19" s="19"/>
      <c r="AB19" s="19"/>
      <c r="AC19" s="19"/>
    </row>
    <row r="20" spans="2:29">
      <c r="B20" s="16" t="s">
        <v>1104</v>
      </c>
      <c r="C20" s="184" t="s">
        <v>1217</v>
      </c>
      <c r="D20" s="179" t="s">
        <v>459</v>
      </c>
      <c r="E20" s="35"/>
      <c r="F20" s="21"/>
      <c r="G20" s="21"/>
      <c r="H20" s="21"/>
      <c r="I20" s="21"/>
      <c r="J20" s="300"/>
      <c r="K20" s="306"/>
      <c r="L20" s="306"/>
      <c r="M20" s="306"/>
      <c r="N20" s="242">
        <f t="shared" ref="N20:N31" si="6">IF($D20="MWh/yr (LHV)",$E20,$J20*$E20*(1-$L20)/Conversion_kWh_to_MJ)</f>
        <v>0</v>
      </c>
      <c r="O20" s="246" t="str">
        <f>IFERROR(N20/N8,"")</f>
        <v/>
      </c>
      <c r="Q20" s="515">
        <f>IF($D20="MWh/yr (LHV)",$E20,$E20*MAX(0, $J20*(1-$L20)-2.441*$L20)/Conversion_kWh_to_MJ)</f>
        <v>0</v>
      </c>
      <c r="R20" s="245" t="str">
        <f>IFERROR(Q20/(SUM($Q$20:$Q$22)),"")</f>
        <v/>
      </c>
      <c r="S20" s="42"/>
      <c r="T20" s="42"/>
      <c r="U20" s="42"/>
      <c r="V20" s="42"/>
      <c r="X20" s="21"/>
      <c r="Y20" s="12"/>
    </row>
    <row r="21" spans="2:29" s="14" customFormat="1">
      <c r="B21" s="186" t="s">
        <v>1008</v>
      </c>
      <c r="C21" s="184" t="s">
        <v>1106</v>
      </c>
      <c r="D21" s="179" t="s">
        <v>459</v>
      </c>
      <c r="E21" s="35"/>
      <c r="F21" s="21"/>
      <c r="G21" s="21"/>
      <c r="H21" s="20"/>
      <c r="I21" s="33"/>
      <c r="J21" s="300"/>
      <c r="K21" s="302"/>
      <c r="L21" s="302"/>
      <c r="M21" s="302"/>
      <c r="N21" s="242">
        <f t="shared" si="6"/>
        <v>0</v>
      </c>
      <c r="O21" s="12"/>
      <c r="P21" s="12"/>
      <c r="Q21" s="515">
        <f>IF($D21="MWh/yr (LHV)",$E21,$E21*MAX(0, $J21*(1-$L21)-2.441*$L21)/Conversion_kWh_to_MJ)</f>
        <v>0</v>
      </c>
      <c r="R21" s="245" t="str">
        <f t="shared" ref="R21:R22" si="7">IFERROR(Q21/(SUM($Q$20:$Q$22)),"")</f>
        <v/>
      </c>
      <c r="S21" s="42"/>
      <c r="T21" s="42"/>
      <c r="U21" s="107"/>
      <c r="V21" s="12"/>
      <c r="W21" s="23"/>
      <c r="X21" s="21"/>
      <c r="Y21" s="23"/>
      <c r="Z21" s="42"/>
      <c r="AB21" s="12"/>
    </row>
    <row r="22" spans="2:29" s="14" customFormat="1">
      <c r="B22" s="186" t="s">
        <v>1008</v>
      </c>
      <c r="C22" s="184" t="s">
        <v>1107</v>
      </c>
      <c r="D22" s="179" t="s">
        <v>459</v>
      </c>
      <c r="E22" s="35"/>
      <c r="F22" s="21"/>
      <c r="G22" s="21"/>
      <c r="H22" s="20"/>
      <c r="I22" s="20"/>
      <c r="J22" s="302"/>
      <c r="K22" s="302"/>
      <c r="L22" s="302"/>
      <c r="M22" s="302"/>
      <c r="N22" s="242">
        <f t="shared" si="6"/>
        <v>0</v>
      </c>
      <c r="O22" s="12"/>
      <c r="P22" s="12"/>
      <c r="Q22" s="515">
        <f>IF($D22="MWh/yr (LHV)",$E22,$E22*MAX(0, $J22*(1-$L22)-2.441*$L22)/Conversion_kWh_to_MJ)</f>
        <v>0</v>
      </c>
      <c r="R22" s="245" t="str">
        <f t="shared" si="7"/>
        <v/>
      </c>
      <c r="S22" s="42"/>
      <c r="T22" s="42"/>
      <c r="U22" s="107"/>
      <c r="V22" s="12"/>
      <c r="W22" s="23"/>
      <c r="X22" s="21"/>
      <c r="Y22" s="23"/>
      <c r="Z22" s="42"/>
      <c r="AB22" s="12"/>
    </row>
    <row r="23" spans="2:29" s="14" customFormat="1">
      <c r="B23" s="186" t="s">
        <v>1013</v>
      </c>
      <c r="C23" s="184" t="s">
        <v>1108</v>
      </c>
      <c r="D23" s="179" t="s">
        <v>459</v>
      </c>
      <c r="E23" s="35"/>
      <c r="F23" s="21"/>
      <c r="G23" s="21"/>
      <c r="H23" s="20"/>
      <c r="I23" s="20"/>
      <c r="J23" s="302"/>
      <c r="K23" s="302"/>
      <c r="L23" s="302"/>
      <c r="M23" s="302"/>
      <c r="N23" s="242">
        <f t="shared" si="6"/>
        <v>0</v>
      </c>
      <c r="O23" s="12"/>
      <c r="P23" s="12"/>
      <c r="Q23" s="12"/>
      <c r="R23" s="12"/>
      <c r="S23" s="107"/>
      <c r="T23" s="107"/>
      <c r="U23" s="107"/>
      <c r="V23" s="12"/>
      <c r="W23" s="23"/>
      <c r="X23" s="21"/>
      <c r="Y23" s="23"/>
      <c r="Z23" s="42"/>
      <c r="AB23" s="12"/>
    </row>
    <row r="24" spans="2:29" s="14" customFormat="1">
      <c r="B24" s="186" t="s">
        <v>1013</v>
      </c>
      <c r="C24" s="184" t="s">
        <v>1015</v>
      </c>
      <c r="D24" s="179" t="s">
        <v>459</v>
      </c>
      <c r="E24" s="35"/>
      <c r="F24" s="21"/>
      <c r="G24" s="21"/>
      <c r="H24" s="20"/>
      <c r="I24" s="20"/>
      <c r="J24" s="302"/>
      <c r="K24" s="302"/>
      <c r="L24" s="302"/>
      <c r="M24" s="302"/>
      <c r="N24" s="242">
        <f t="shared" si="6"/>
        <v>0</v>
      </c>
      <c r="O24" s="12"/>
      <c r="P24" s="12"/>
      <c r="Q24" s="12"/>
      <c r="R24" s="12"/>
      <c r="S24" s="107"/>
      <c r="T24" s="107"/>
      <c r="U24" s="107"/>
      <c r="V24" s="12"/>
      <c r="W24" s="23"/>
      <c r="X24" s="21"/>
      <c r="Y24" s="23"/>
      <c r="Z24" s="42"/>
      <c r="AB24" s="12"/>
    </row>
    <row r="25" spans="2:29" s="14" customFormat="1">
      <c r="B25" s="186" t="s">
        <v>1016</v>
      </c>
      <c r="C25" s="184" t="s">
        <v>1017</v>
      </c>
      <c r="D25" s="179" t="s">
        <v>459</v>
      </c>
      <c r="E25" s="35"/>
      <c r="F25" s="21"/>
      <c r="G25" s="21"/>
      <c r="H25" s="20"/>
      <c r="I25" s="36"/>
      <c r="J25" s="300"/>
      <c r="K25" s="302"/>
      <c r="L25" s="302"/>
      <c r="M25" s="302"/>
      <c r="N25" s="242">
        <f t="shared" si="6"/>
        <v>0</v>
      </c>
      <c r="O25" s="12"/>
      <c r="P25" s="12"/>
      <c r="Q25" s="12"/>
      <c r="R25" s="12"/>
      <c r="S25" s="107"/>
      <c r="T25" s="107"/>
      <c r="U25" s="107"/>
      <c r="V25" s="12"/>
      <c r="X25" s="21"/>
    </row>
    <row r="26" spans="2:29" s="14" customFormat="1">
      <c r="B26" s="186" t="s">
        <v>1016</v>
      </c>
      <c r="C26" s="184" t="s">
        <v>1018</v>
      </c>
      <c r="D26" s="179" t="s">
        <v>459</v>
      </c>
      <c r="E26" s="35"/>
      <c r="F26" s="21"/>
      <c r="G26" s="21"/>
      <c r="H26" s="20"/>
      <c r="I26" s="36"/>
      <c r="J26" s="300"/>
      <c r="K26" s="302"/>
      <c r="L26" s="302"/>
      <c r="M26" s="302"/>
      <c r="N26" s="242">
        <f t="shared" si="6"/>
        <v>0</v>
      </c>
      <c r="O26" s="12"/>
      <c r="P26" s="12"/>
      <c r="Q26" s="12"/>
      <c r="R26" s="12"/>
      <c r="S26" s="107"/>
      <c r="T26" s="107"/>
      <c r="U26" s="107"/>
      <c r="V26" s="12"/>
      <c r="X26" s="21"/>
    </row>
    <row r="27" spans="2:29" s="14" customFormat="1">
      <c r="B27" s="186" t="s">
        <v>1057</v>
      </c>
      <c r="C27" s="184" t="s">
        <v>1182</v>
      </c>
      <c r="D27" s="179" t="s">
        <v>459</v>
      </c>
      <c r="E27" s="35"/>
      <c r="F27" s="34"/>
      <c r="G27" s="21"/>
      <c r="H27" s="20"/>
      <c r="I27" s="36"/>
      <c r="J27" s="300"/>
      <c r="K27" s="302"/>
      <c r="L27" s="302"/>
      <c r="M27" s="302"/>
      <c r="N27" s="242">
        <f t="shared" si="6"/>
        <v>0</v>
      </c>
      <c r="O27" s="12"/>
      <c r="P27" s="12"/>
      <c r="Q27" s="12"/>
      <c r="R27" s="12"/>
      <c r="S27" s="300">
        <v>1000</v>
      </c>
      <c r="T27" s="477"/>
      <c r="U27" s="35" t="s">
        <v>1118</v>
      </c>
      <c r="V27" s="242" t="str">
        <f>IFERROR(IF(D27="tonnes/yr", $S27*$E27/($N$20*3.6), $T27*$E27*3.6/($N$20*3.6)), "Unfilled fields to left")</f>
        <v>Unfilled fields to left</v>
      </c>
      <c r="X27" s="21"/>
    </row>
    <row r="28" spans="2:29" s="14" customFormat="1">
      <c r="B28" s="186" t="s">
        <v>1113</v>
      </c>
      <c r="C28" s="184" t="s">
        <v>1073</v>
      </c>
      <c r="D28" s="179" t="s">
        <v>459</v>
      </c>
      <c r="E28" s="35"/>
      <c r="F28" s="34"/>
      <c r="G28" s="21"/>
      <c r="H28" s="20"/>
      <c r="I28" s="36"/>
      <c r="J28" s="300"/>
      <c r="K28" s="302"/>
      <c r="L28" s="302"/>
      <c r="M28" s="302"/>
      <c r="N28" s="242">
        <f t="shared" si="6"/>
        <v>0</v>
      </c>
      <c r="O28" s="12"/>
      <c r="P28" s="12"/>
      <c r="Q28" s="12"/>
      <c r="R28" s="12"/>
      <c r="S28" s="300">
        <f>28*1000</f>
        <v>28000</v>
      </c>
      <c r="T28" s="477"/>
      <c r="U28" s="35" t="s">
        <v>1059</v>
      </c>
      <c r="V28" s="242" t="str">
        <f>IFERROR(IF(D28="tonnes/yr", $S28*$E28/($N$20*3.6), $T28*$E28*3.6/($N$20*3.6)), "Unfilled fields to left")</f>
        <v>Unfilled fields to left</v>
      </c>
      <c r="X28" s="21"/>
    </row>
    <row r="29" spans="2:29" s="14" customFormat="1">
      <c r="B29" s="186" t="s">
        <v>1113</v>
      </c>
      <c r="C29" s="184" t="s">
        <v>1075</v>
      </c>
      <c r="D29" s="179" t="s">
        <v>459</v>
      </c>
      <c r="E29" s="35"/>
      <c r="F29" s="24"/>
      <c r="G29" s="21"/>
      <c r="H29" s="20"/>
      <c r="I29" s="36"/>
      <c r="J29" s="300"/>
      <c r="K29" s="302"/>
      <c r="L29" s="302"/>
      <c r="M29" s="302"/>
      <c r="N29" s="242">
        <f t="shared" si="6"/>
        <v>0</v>
      </c>
      <c r="O29" s="12"/>
      <c r="P29" s="12"/>
      <c r="Q29" s="12"/>
      <c r="R29" s="12"/>
      <c r="S29" s="300">
        <f>265*1000</f>
        <v>265000</v>
      </c>
      <c r="T29" s="477"/>
      <c r="U29" s="35" t="s">
        <v>1059</v>
      </c>
      <c r="V29" s="242" t="str">
        <f>IFERROR(IF(D29="tonnes/yr", $S29*$E29/($N$20*3.6), $T29*$E29*3.6/($N$20*3.6)), "Unfilled fields to left")</f>
        <v>Unfilled fields to left</v>
      </c>
      <c r="X29" s="21"/>
    </row>
    <row r="30" spans="2:29" s="14" customFormat="1">
      <c r="B30" s="16"/>
      <c r="C30" s="15"/>
      <c r="D30" s="179"/>
      <c r="E30" s="35"/>
      <c r="F30" s="21"/>
      <c r="G30" s="21"/>
      <c r="H30" s="20"/>
      <c r="I30" s="36"/>
      <c r="J30" s="300"/>
      <c r="K30" s="302"/>
      <c r="L30" s="302"/>
      <c r="M30" s="302"/>
      <c r="N30" s="242">
        <f t="shared" si="6"/>
        <v>0</v>
      </c>
      <c r="O30" s="12"/>
      <c r="P30" s="12"/>
      <c r="Q30" s="12"/>
      <c r="R30" s="12"/>
      <c r="S30" s="300"/>
      <c r="T30" s="477"/>
      <c r="U30" s="302"/>
      <c r="V30" s="242" t="str">
        <f>IFERROR(IF(D30="tonnes/yr", $S30*$E30/($N$20*3.6), $T30*$E30*3.6/($N$20*3.6)), "Unfilled fields to left")</f>
        <v>Unfilled fields to left</v>
      </c>
      <c r="X30" s="21"/>
    </row>
    <row r="31" spans="2:29" s="14" customFormat="1">
      <c r="B31" s="16"/>
      <c r="C31" s="15"/>
      <c r="D31" s="179"/>
      <c r="E31" s="35"/>
      <c r="F31" s="21"/>
      <c r="G31" s="21"/>
      <c r="H31" s="20"/>
      <c r="I31" s="36"/>
      <c r="J31" s="300"/>
      <c r="K31" s="302"/>
      <c r="L31" s="302"/>
      <c r="M31" s="302"/>
      <c r="N31" s="242">
        <f t="shared" si="6"/>
        <v>0</v>
      </c>
      <c r="O31" s="12"/>
      <c r="P31" s="12"/>
      <c r="Q31" s="12"/>
      <c r="R31" s="12"/>
      <c r="S31" s="300"/>
      <c r="T31" s="477"/>
      <c r="U31" s="302"/>
      <c r="V31" s="242" t="str">
        <f>IFERROR(IF(D31="tonnes/yr", $S31*$E31/($N$20*3.6), $T31*$E31*3.6/($N$20*3.6)), "Unfilled fields to left")</f>
        <v>Unfilled fields to left</v>
      </c>
      <c r="X31" s="21"/>
    </row>
    <row r="32" spans="2:29">
      <c r="C32" s="17"/>
      <c r="D32" s="17"/>
      <c r="E32" s="140"/>
      <c r="F32" s="17"/>
      <c r="H32" s="18"/>
      <c r="I32" s="18"/>
      <c r="J32" s="40"/>
      <c r="K32" s="40"/>
      <c r="L32" s="40"/>
      <c r="M32" s="40"/>
      <c r="N32" s="40"/>
      <c r="O32" s="12"/>
      <c r="S32" s="40"/>
      <c r="T32" s="40"/>
      <c r="U32" s="40"/>
      <c r="V32" s="40"/>
      <c r="Y32" s="12"/>
    </row>
    <row r="33" spans="2:25">
      <c r="D33" s="17"/>
      <c r="E33" s="140"/>
      <c r="J33" s="39"/>
      <c r="K33" s="39"/>
      <c r="L33" s="39"/>
      <c r="M33" s="39"/>
      <c r="O33" s="12"/>
      <c r="S33" s="39"/>
      <c r="T33" s="39"/>
      <c r="U33" s="38" t="s">
        <v>1114</v>
      </c>
      <c r="V33" s="153">
        <f>SUM(V7:V32)</f>
        <v>0</v>
      </c>
      <c r="Y33" s="12"/>
    </row>
    <row r="34" spans="2:25">
      <c r="B34" s="145" t="s">
        <v>132</v>
      </c>
      <c r="C34" s="159"/>
      <c r="D34" s="159"/>
      <c r="E34" s="499"/>
      <c r="I34" s="12"/>
      <c r="J34" s="107"/>
      <c r="K34" s="107"/>
      <c r="L34" s="107"/>
      <c r="M34" s="107"/>
      <c r="N34" s="107"/>
      <c r="O34" s="12"/>
      <c r="S34" s="107"/>
      <c r="T34" s="107"/>
      <c r="U34" s="107"/>
      <c r="Y34" s="12"/>
    </row>
    <row r="35" spans="2:25">
      <c r="B35" s="16" t="s">
        <v>1086</v>
      </c>
      <c r="C35" s="15" t="s">
        <v>1087</v>
      </c>
      <c r="D35" s="15" t="s">
        <v>1088</v>
      </c>
      <c r="E35" s="501"/>
      <c r="G35" s="19"/>
      <c r="H35" s="12"/>
      <c r="I35" s="12"/>
      <c r="J35" s="107"/>
      <c r="K35" s="107"/>
      <c r="L35" s="107"/>
      <c r="M35" s="107"/>
      <c r="N35" s="107"/>
      <c r="O35" s="12"/>
      <c r="S35" s="107"/>
      <c r="T35" s="107"/>
      <c r="U35" s="107"/>
      <c r="V35" s="12"/>
      <c r="X35" s="25"/>
      <c r="Y35" s="12"/>
    </row>
    <row r="36" spans="2:25">
      <c r="B36" s="16"/>
      <c r="C36" s="15"/>
      <c r="D36" s="15"/>
      <c r="E36" s="507"/>
      <c r="H36" s="12"/>
      <c r="I36" s="12"/>
      <c r="J36" s="107"/>
      <c r="K36" s="107"/>
      <c r="L36" s="107"/>
      <c r="M36" s="107"/>
      <c r="N36" s="107"/>
      <c r="O36" s="12"/>
      <c r="S36" s="107"/>
      <c r="T36" s="107"/>
      <c r="U36" s="107"/>
      <c r="V36" s="12"/>
      <c r="X36" s="25"/>
      <c r="Y36" s="12"/>
    </row>
    <row r="37" spans="2:25">
      <c r="B37" s="16"/>
      <c r="C37" s="15"/>
      <c r="D37" s="15"/>
      <c r="E37" s="507"/>
      <c r="J37" s="39"/>
      <c r="K37" s="39"/>
      <c r="L37" s="39"/>
      <c r="M37" s="39"/>
      <c r="S37" s="39"/>
      <c r="T37" s="39"/>
      <c r="U37" s="39"/>
      <c r="X37" s="25"/>
    </row>
    <row r="38" spans="2:25">
      <c r="B38" s="16"/>
      <c r="C38" s="15"/>
      <c r="D38" s="15"/>
      <c r="E38" s="507"/>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H8" activePane="bottomRight" state="frozen"/>
      <selection pane="bottomRight" activeCell="D2" sqref="D2"/>
      <pageMargins left="0" right="0" top="0" bottom="0" header="0" footer="0"/>
      <pageSetup paperSize="9" orientation="portrait" r:id="rId4"/>
    </customSheetView>
    <customSheetView guid="{E6EFD927-84B2-4D06-BB59-59D9DF522DA2}" showGridLines="0">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H8"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D7F5CBA1-1FD5-4B22-8842-6C224FBB1F68}">
      <formula1>Flow_units</formula1>
    </dataValidation>
    <dataValidation type="custom" allowBlank="1" showInputMessage="1" showErrorMessage="1" error="Please do not change this formula" prompt="Please do not change this formula" sqref="N32:N1048576 V6:V1048576 W4 V1:V4 P1:R4 Q23:R1048576 R6:R19 N1:N7 N18:N19 P21:P1048576 O4 O6:O19 S5:V5" xr:uid="{9F9BAB33-8EE8-4900-A0D7-4C648EB00C5D}">
      <formula1>"Please do not change this formula"</formula1>
    </dataValidation>
    <dataValidation type="custom" allowBlank="1" showInputMessage="1" showErrorMessage="1" error="Please do not change this formula" sqref="Q20:Q22 N8:N17 N20:N31 O20 O5:R5" xr:uid="{F6959AA9-FC74-41EB-820D-AB9BC56D9869}">
      <formula1>"Please do not change this formula"</formula1>
    </dataValidation>
    <dataValidation type="custom" allowBlank="1" showInputMessage="1" showErrorMessage="1" error="Please do not change" sqref="R20:R22" xr:uid="{D7090CAF-5CE1-4FF3-8426-421892722B11}">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537170C2-4F4F-4D45-83CA-1E2F4CDC83CC}">
      <formula1>0</formula1>
    </dataValidation>
  </dataValidations>
  <hyperlinks>
    <hyperlink ref="I2:J2" location="'Biomass Transport'!A1" display="Go to the next step of this pathway" xr:uid="{3728A8DB-5383-4307-95D3-03EC834182FC}"/>
    <hyperlink ref="I2:K2" location="Biomass_Transport!A1" display="Go to the next step of this pathway" xr:uid="{2086B946-7A55-4314-BCB5-0308CAC63770}"/>
  </hyperlinks>
  <pageMargins left="0" right="0" top="0" bottom="0" header="0" footer="0"/>
  <pageSetup paperSize="9" orientation="portrait" r:id="rId10"/>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2C00-000001000000}">
            <xm:f>AND(Path&lt;&gt;Units!$B$135,Path&lt;&gt;Units!$B$136,Master_Switch="On")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18" id="{00000000-000E-0000-2300-000011000000}">
            <xm:f>AND(GHG_BIOMASS_GASIFICATION!$D$5="Default",Master_Switch="On")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1D81A-B7D5-4DDE-9AFB-A046C724DD3E}">
  <sheetPr codeName="Sheet30">
    <tabColor rgb="FFCCFF66"/>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55"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20.453125" customWidth="1"/>
    <col min="16" max="16" width="8" customWidth="1"/>
    <col min="17" max="17" width="18.81640625" style="12" customWidth="1"/>
    <col min="18" max="18" width="17.54296875" style="12" customWidth="1"/>
    <col min="19" max="20" width="20.7265625" style="13" customWidth="1"/>
    <col min="21" max="21" width="22.7265625" style="13" customWidth="1"/>
    <col min="22" max="22" width="20.26953125" style="39" customWidth="1"/>
    <col min="23" max="23" width="7.1796875" style="12" customWidth="1"/>
    <col min="24" max="24" width="26" style="12" customWidth="1"/>
    <col min="26" max="16384" width="7.1796875" style="12"/>
  </cols>
  <sheetData>
    <row r="1" spans="1:29" ht="31.9" customHeight="1">
      <c r="A1" s="80" t="str">
        <f>IF(AND(Path&lt;&gt;Units!$B$135,Path&lt;&gt;Units!$B$136,Master_Switch="On"),"User should not fill in this sheet, but switch to other non-blank GHG worksheets","")</f>
        <v>User should not fill in this sheet, but switch to other non-blank GHG worksheets</v>
      </c>
      <c r="E1" s="256"/>
    </row>
    <row r="2" spans="1:29" ht="20.5" customHeight="1">
      <c r="B2" s="80" t="str">
        <f>IF(AND(GHG_BIOMASS_GASIFICATION!$D$5="Default",Master_Switch="On"),"Default data selected for this step, move to the next step of the pathway","")</f>
        <v/>
      </c>
      <c r="E2" s="256"/>
      <c r="I2" s="729" t="s">
        <v>1093</v>
      </c>
      <c r="J2" s="731"/>
      <c r="K2" s="732"/>
      <c r="L2" s="39"/>
      <c r="M2" s="39"/>
    </row>
    <row r="3" spans="1:29" ht="15" customHeight="1">
      <c r="E3" s="256"/>
    </row>
    <row r="4" spans="1:29" ht="15.65" customHeight="1" thickBot="1">
      <c r="B4" s="3"/>
      <c r="C4" s="3"/>
      <c r="D4" s="3"/>
      <c r="E4" s="455"/>
      <c r="F4" s="3"/>
      <c r="G4" s="3"/>
      <c r="H4" s="1"/>
      <c r="I4" s="1"/>
      <c r="J4" s="1"/>
      <c r="K4" s="1"/>
      <c r="L4" s="1"/>
      <c r="M4" s="1"/>
      <c r="N4" s="37"/>
      <c r="O4" s="1"/>
      <c r="P4" s="1"/>
      <c r="Q4" s="3"/>
      <c r="R4" s="3"/>
      <c r="S4" s="1"/>
      <c r="T4" s="1"/>
      <c r="U4" s="1"/>
      <c r="V4" s="37"/>
      <c r="W4" s="37"/>
      <c r="X4" s="3"/>
    </row>
    <row r="5" spans="1:29"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9" ht="15" thickTop="1">
      <c r="E6" s="457"/>
      <c r="Q6"/>
      <c r="R6"/>
      <c r="S6"/>
      <c r="T6"/>
      <c r="U6"/>
      <c r="V6"/>
    </row>
    <row r="7" spans="1:29">
      <c r="B7" s="145" t="s">
        <v>1097</v>
      </c>
      <c r="C7" s="145"/>
      <c r="D7" s="145"/>
      <c r="E7" s="324"/>
      <c r="F7" s="145"/>
      <c r="G7" s="145"/>
      <c r="H7" s="145"/>
      <c r="I7" s="145"/>
      <c r="J7" s="145"/>
      <c r="K7" s="145"/>
      <c r="L7" s="145"/>
      <c r="M7" s="145"/>
      <c r="N7" s="301"/>
      <c r="Q7"/>
      <c r="R7"/>
      <c r="S7"/>
      <c r="T7"/>
      <c r="U7"/>
      <c r="V7"/>
      <c r="W7" s="19"/>
      <c r="X7" s="19"/>
      <c r="Y7" s="19"/>
      <c r="Z7" s="19"/>
      <c r="AA7" s="19"/>
      <c r="AB7" s="19"/>
      <c r="AC7" s="19"/>
    </row>
    <row r="8" spans="1:29">
      <c r="B8" s="16" t="s">
        <v>1115</v>
      </c>
      <c r="C8" s="184" t="s">
        <v>1217</v>
      </c>
      <c r="D8" s="179" t="s">
        <v>459</v>
      </c>
      <c r="E8" s="35"/>
      <c r="F8" s="21"/>
      <c r="G8" s="21"/>
      <c r="H8" s="20"/>
      <c r="I8" s="20"/>
      <c r="J8" s="300"/>
      <c r="K8" s="302"/>
      <c r="L8" s="302"/>
      <c r="M8" s="302"/>
      <c r="N8" s="242">
        <f t="shared" ref="N8:N17" si="0">IF($D8="MWh/yr (LHV)",$E8,$J8*$E8*(1-$L8)/Conversion_kWh_to_MJ)</f>
        <v>0</v>
      </c>
      <c r="O8" s="12"/>
      <c r="P8" s="12"/>
      <c r="S8" s="107"/>
      <c r="T8" s="107"/>
      <c r="U8" s="107"/>
      <c r="V8" s="12"/>
      <c r="X8" s="24"/>
      <c r="Y8" s="12"/>
    </row>
    <row r="9" spans="1:29">
      <c r="B9" s="186" t="s">
        <v>1021</v>
      </c>
      <c r="C9" s="184" t="s">
        <v>1098</v>
      </c>
      <c r="D9" s="179" t="s">
        <v>479</v>
      </c>
      <c r="E9" s="35"/>
      <c r="F9" s="21"/>
      <c r="G9" s="21"/>
      <c r="H9" s="20"/>
      <c r="I9" s="36"/>
      <c r="J9" s="300"/>
      <c r="K9" s="302"/>
      <c r="L9" s="302"/>
      <c r="M9" s="302"/>
      <c r="N9" s="242">
        <f t="shared" si="0"/>
        <v>0</v>
      </c>
      <c r="O9" s="12"/>
      <c r="P9" s="12"/>
      <c r="S9" s="35" t="str">
        <f>IF(B9="", "", IF(D9="MWh/yr (LHV)", "Use column to right", "Enter data here"))</f>
        <v>Use column to right</v>
      </c>
      <c r="T9" s="35" t="e">
        <f>INDEX(Proj_grid_intensity_kWh,MATCH(Operations_year,Proj_grid_year,0))/Conversion_kWh_to_MJ</f>
        <v>#N/A</v>
      </c>
      <c r="U9" s="35" t="s">
        <v>1064</v>
      </c>
      <c r="V9" s="242" t="str">
        <f t="shared" ref="V9:V17" si="1">IFERROR(IF(D9="tonnes/yr", $S9*$E9/($N$20*3.6), $T9*$E9*3.6/($N$20*3.6)), "Unfilled fields to left")</f>
        <v>Unfilled fields to left</v>
      </c>
      <c r="X9" s="25"/>
      <c r="Y9" s="12"/>
    </row>
    <row r="10" spans="1:29">
      <c r="B10" s="186" t="s">
        <v>1021</v>
      </c>
      <c r="C10" s="184"/>
      <c r="D10" s="179"/>
      <c r="E10" s="35"/>
      <c r="F10" s="21"/>
      <c r="G10" s="21"/>
      <c r="H10" s="20"/>
      <c r="I10" s="36"/>
      <c r="J10" s="300"/>
      <c r="K10" s="302"/>
      <c r="L10" s="302"/>
      <c r="M10" s="302"/>
      <c r="N10" s="242">
        <f t="shared" si="0"/>
        <v>0</v>
      </c>
      <c r="O10" s="12"/>
      <c r="P10" s="12"/>
      <c r="S10" s="35" t="str">
        <f t="shared" ref="S10" si="2">IF(B10="", "", IF(D10="MWh/yr (LHV)", "Use column to right", "Enter data here"))</f>
        <v>Enter data here</v>
      </c>
      <c r="T10" s="35" t="str">
        <f t="shared" ref="T10" si="3">IF(B10="", "", IF(D10="MWh/yr (LHV)", "Enter data here", "Use column to left"))</f>
        <v>Use column to left</v>
      </c>
      <c r="U10" s="35" t="s">
        <v>1100</v>
      </c>
      <c r="V10" s="242" t="str">
        <f t="shared" si="1"/>
        <v>Unfilled fields to left</v>
      </c>
      <c r="X10" s="25"/>
      <c r="Y10" s="12"/>
    </row>
    <row r="11" spans="1:29">
      <c r="B11" s="186" t="s">
        <v>1042</v>
      </c>
      <c r="C11" s="184" t="s">
        <v>1043</v>
      </c>
      <c r="D11" s="179" t="s">
        <v>459</v>
      </c>
      <c r="E11" s="35"/>
      <c r="F11" s="24"/>
      <c r="G11" s="21"/>
      <c r="H11" s="20"/>
      <c r="I11" s="36"/>
      <c r="J11" s="300"/>
      <c r="K11" s="302"/>
      <c r="L11" s="302"/>
      <c r="M11" s="302"/>
      <c r="N11" s="242">
        <f t="shared" si="0"/>
        <v>0</v>
      </c>
      <c r="O11" s="12"/>
      <c r="P11" s="12"/>
      <c r="S11" s="35" t="str">
        <f t="shared" ref="S11:S17" si="4">IF(B11="", "", IF(D11="MWh/yr (LHV)", "Use column to right", "Enter data here"))</f>
        <v>Enter data here</v>
      </c>
      <c r="T11" s="35" t="str">
        <f t="shared" ref="T11:T17" si="5">IF(B11="", "", IF(D11="MWh/yr (LHV)", "Enter data here", "Use column to left"))</f>
        <v>Use column to left</v>
      </c>
      <c r="U11" s="35" t="s">
        <v>1100</v>
      </c>
      <c r="V11" s="242" t="str">
        <f t="shared" si="1"/>
        <v>Unfilled fields to left</v>
      </c>
      <c r="W11" s="91"/>
      <c r="X11" s="25"/>
      <c r="Y11" s="12"/>
    </row>
    <row r="12" spans="1:29">
      <c r="B12" s="186" t="s">
        <v>1042</v>
      </c>
      <c r="C12" s="184" t="s">
        <v>1045</v>
      </c>
      <c r="D12" s="179" t="s">
        <v>459</v>
      </c>
      <c r="E12" s="35"/>
      <c r="F12" s="21"/>
      <c r="G12" s="21"/>
      <c r="H12" s="20"/>
      <c r="I12" s="36"/>
      <c r="J12" s="300"/>
      <c r="K12" s="302"/>
      <c r="L12" s="302"/>
      <c r="M12" s="302"/>
      <c r="N12" s="242">
        <f t="shared" si="0"/>
        <v>0</v>
      </c>
      <c r="O12" s="12"/>
      <c r="P12" s="12"/>
      <c r="S12" s="35" t="str">
        <f t="shared" si="4"/>
        <v>Enter data here</v>
      </c>
      <c r="T12" s="35" t="str">
        <f t="shared" si="5"/>
        <v>Use column to left</v>
      </c>
      <c r="U12" s="35" t="s">
        <v>1100</v>
      </c>
      <c r="V12" s="242" t="str">
        <f t="shared" si="1"/>
        <v>Unfilled fields to left</v>
      </c>
      <c r="X12" s="25"/>
      <c r="Y12" s="12"/>
    </row>
    <row r="13" spans="1:29">
      <c r="B13" s="186" t="s">
        <v>1051</v>
      </c>
      <c r="C13" s="184" t="s">
        <v>1010</v>
      </c>
      <c r="D13" s="179" t="s">
        <v>459</v>
      </c>
      <c r="E13" s="35"/>
      <c r="F13" s="21"/>
      <c r="G13" s="21"/>
      <c r="H13" s="20"/>
      <c r="I13" s="36"/>
      <c r="J13" s="300"/>
      <c r="K13" s="302"/>
      <c r="L13" s="302"/>
      <c r="M13" s="302"/>
      <c r="N13" s="242">
        <f t="shared" si="0"/>
        <v>0</v>
      </c>
      <c r="O13" s="12"/>
      <c r="P13" s="12"/>
      <c r="S13" s="35" t="str">
        <f t="shared" si="4"/>
        <v>Enter data here</v>
      </c>
      <c r="T13" s="35" t="str">
        <f t="shared" si="5"/>
        <v>Use column to left</v>
      </c>
      <c r="U13" s="35" t="s">
        <v>1100</v>
      </c>
      <c r="V13" s="242" t="str">
        <f t="shared" si="1"/>
        <v>Unfilled fields to left</v>
      </c>
      <c r="X13" s="25"/>
      <c r="Y13" s="12"/>
    </row>
    <row r="14" spans="1:29">
      <c r="B14" s="186" t="s">
        <v>1051</v>
      </c>
      <c r="C14" s="184" t="s">
        <v>1101</v>
      </c>
      <c r="D14" s="179" t="s">
        <v>459</v>
      </c>
      <c r="E14" s="35"/>
      <c r="F14" s="21"/>
      <c r="G14" s="21"/>
      <c r="H14" s="20"/>
      <c r="I14" s="36"/>
      <c r="J14" s="300"/>
      <c r="K14" s="302"/>
      <c r="L14" s="302"/>
      <c r="M14" s="302"/>
      <c r="N14" s="242">
        <f t="shared" si="0"/>
        <v>0</v>
      </c>
      <c r="O14" s="12"/>
      <c r="P14" s="12"/>
      <c r="S14" s="35" t="str">
        <f t="shared" si="4"/>
        <v>Enter data here</v>
      </c>
      <c r="T14" s="35" t="str">
        <f t="shared" si="5"/>
        <v>Use column to left</v>
      </c>
      <c r="U14" s="35" t="s">
        <v>1100</v>
      </c>
      <c r="V14" s="242" t="str">
        <f t="shared" si="1"/>
        <v>Unfilled fields to left</v>
      </c>
      <c r="X14" s="25"/>
      <c r="Y14" s="12"/>
    </row>
    <row r="15" spans="1:29">
      <c r="B15" s="186" t="s">
        <v>1177</v>
      </c>
      <c r="C15" s="184" t="s">
        <v>1055</v>
      </c>
      <c r="D15" s="179" t="s">
        <v>459</v>
      </c>
      <c r="E15" s="35"/>
      <c r="F15" s="21"/>
      <c r="G15" s="21"/>
      <c r="H15" s="20"/>
      <c r="I15" s="36"/>
      <c r="J15" s="300"/>
      <c r="K15" s="302"/>
      <c r="L15" s="302"/>
      <c r="M15" s="302"/>
      <c r="N15" s="242">
        <f t="shared" si="0"/>
        <v>0</v>
      </c>
      <c r="O15" s="12"/>
      <c r="P15" s="12"/>
      <c r="S15" s="35" t="str">
        <f t="shared" si="4"/>
        <v>Enter data here</v>
      </c>
      <c r="T15" s="35" t="str">
        <f t="shared" si="5"/>
        <v>Use column to left</v>
      </c>
      <c r="U15" s="35" t="s">
        <v>1100</v>
      </c>
      <c r="V15" s="242" t="str">
        <f t="shared" si="1"/>
        <v>Unfilled fields to left</v>
      </c>
      <c r="X15" s="25"/>
      <c r="Y15" s="12"/>
    </row>
    <row r="16" spans="1:29">
      <c r="B16" s="186" t="s">
        <v>1177</v>
      </c>
      <c r="C16" s="184" t="s">
        <v>1213</v>
      </c>
      <c r="D16" s="179" t="s">
        <v>459</v>
      </c>
      <c r="E16" s="35"/>
      <c r="F16" s="21"/>
      <c r="G16" s="21"/>
      <c r="H16" s="20"/>
      <c r="I16" s="36"/>
      <c r="J16" s="300"/>
      <c r="K16" s="302"/>
      <c r="L16" s="302"/>
      <c r="M16" s="302"/>
      <c r="N16" s="242">
        <f t="shared" si="0"/>
        <v>0</v>
      </c>
      <c r="O16" s="12"/>
      <c r="P16" s="12"/>
      <c r="S16" s="35" t="str">
        <f t="shared" si="4"/>
        <v>Enter data here</v>
      </c>
      <c r="T16" s="35" t="str">
        <f t="shared" si="5"/>
        <v>Use column to left</v>
      </c>
      <c r="U16" s="35" t="s">
        <v>1100</v>
      </c>
      <c r="V16" s="242" t="str">
        <f t="shared" si="1"/>
        <v>Unfilled fields to left</v>
      </c>
      <c r="X16" s="25"/>
      <c r="Y16" s="12"/>
    </row>
    <row r="17" spans="2:29">
      <c r="B17" s="16"/>
      <c r="C17" s="15"/>
      <c r="D17" s="179"/>
      <c r="E17" s="35"/>
      <c r="F17" s="21"/>
      <c r="G17" s="21"/>
      <c r="H17" s="20"/>
      <c r="I17" s="36"/>
      <c r="J17" s="300"/>
      <c r="K17" s="302"/>
      <c r="L17" s="302"/>
      <c r="M17" s="302"/>
      <c r="N17" s="242">
        <f t="shared" si="0"/>
        <v>0</v>
      </c>
      <c r="O17" s="12"/>
      <c r="P17" s="12"/>
      <c r="S17" s="35" t="str">
        <f t="shared" si="4"/>
        <v/>
      </c>
      <c r="T17" s="35" t="str">
        <f t="shared" si="5"/>
        <v/>
      </c>
      <c r="U17" s="35"/>
      <c r="V17" s="242" t="str">
        <f t="shared" si="1"/>
        <v>Unfilled fields to left</v>
      </c>
      <c r="X17" s="25"/>
      <c r="Y17" s="12"/>
    </row>
    <row r="18" spans="2:29">
      <c r="C18" s="17"/>
      <c r="D18" s="17"/>
      <c r="E18" s="506"/>
      <c r="F18" s="26"/>
      <c r="G18" s="27"/>
      <c r="H18" s="22"/>
      <c r="I18" s="22"/>
      <c r="J18" s="41"/>
      <c r="K18" s="41"/>
      <c r="L18" s="41"/>
      <c r="M18" s="41"/>
      <c r="N18" s="41"/>
      <c r="S18" s="41"/>
      <c r="T18" s="41"/>
      <c r="U18" s="41"/>
      <c r="V18" s="41"/>
      <c r="X18" s="27"/>
      <c r="Y18" s="12"/>
    </row>
    <row r="19" spans="2:29">
      <c r="B19" s="145" t="s">
        <v>1103</v>
      </c>
      <c r="C19" s="145"/>
      <c r="D19" s="145"/>
      <c r="E19" s="301"/>
      <c r="F19" s="145"/>
      <c r="G19" s="145"/>
      <c r="H19" s="145"/>
      <c r="I19" s="145"/>
      <c r="J19" s="301"/>
      <c r="K19" s="301"/>
      <c r="L19" s="301"/>
      <c r="M19" s="301"/>
      <c r="N19" s="301"/>
      <c r="Q19"/>
      <c r="R19"/>
      <c r="S19" s="40"/>
      <c r="T19" s="40"/>
      <c r="U19" s="40"/>
      <c r="V19" s="40"/>
      <c r="W19" s="19"/>
      <c r="X19" s="19"/>
      <c r="Y19" s="19"/>
      <c r="Z19" s="19"/>
      <c r="AA19" s="19"/>
      <c r="AB19" s="19"/>
      <c r="AC19" s="19"/>
    </row>
    <row r="20" spans="2:29">
      <c r="B20" s="16" t="s">
        <v>1104</v>
      </c>
      <c r="C20" s="184" t="s">
        <v>1217</v>
      </c>
      <c r="D20" s="179" t="s">
        <v>459</v>
      </c>
      <c r="E20" s="35"/>
      <c r="F20" s="21"/>
      <c r="G20" s="21"/>
      <c r="H20" s="21"/>
      <c r="I20" s="21"/>
      <c r="J20" s="300"/>
      <c r="K20" s="306"/>
      <c r="L20" s="306"/>
      <c r="M20" s="306"/>
      <c r="N20" s="242">
        <f t="shared" ref="N20:N31" si="6">IF($D20="MWh/yr (LHV)",$E20,$J20*$E20*(1-$L20)/Conversion_kWh_to_MJ)</f>
        <v>0</v>
      </c>
      <c r="O20" s="246" t="str">
        <f>IFERROR(N20/N8,"")</f>
        <v/>
      </c>
      <c r="Q20" s="515">
        <f>IF($D20="MWh/yr (LHV)",$E20,$E20*MAX(0, $J20*(1-$L20)-2.441*$L20)/Conversion_kWh_to_MJ)</f>
        <v>0</v>
      </c>
      <c r="R20" s="245" t="str">
        <f>IFERROR(Q20/(SUM($Q$20:$Q$22)),"")</f>
        <v/>
      </c>
      <c r="S20" s="42"/>
      <c r="T20" s="42"/>
      <c r="U20" s="42"/>
      <c r="V20" s="42"/>
      <c r="X20" s="21"/>
      <c r="Y20" s="12"/>
    </row>
    <row r="21" spans="2:29" s="14" customFormat="1">
      <c r="B21" s="186" t="s">
        <v>1008</v>
      </c>
      <c r="C21" s="184" t="s">
        <v>1106</v>
      </c>
      <c r="D21" s="179" t="s">
        <v>459</v>
      </c>
      <c r="E21" s="35"/>
      <c r="F21" s="21"/>
      <c r="G21" s="21"/>
      <c r="H21" s="20"/>
      <c r="I21" s="33"/>
      <c r="J21" s="300"/>
      <c r="K21" s="302"/>
      <c r="L21" s="302"/>
      <c r="M21" s="302"/>
      <c r="N21" s="242">
        <f t="shared" si="6"/>
        <v>0</v>
      </c>
      <c r="O21" s="12"/>
      <c r="P21" s="12"/>
      <c r="Q21" s="515">
        <f>IF($D21="MWh/yr (LHV)",$E21,$E21*MAX(0, $J21*(1-$L21)-2.441*$L21)/Conversion_kWh_to_MJ)</f>
        <v>0</v>
      </c>
      <c r="R21" s="245" t="str">
        <f t="shared" ref="R21:R22" si="7">IFERROR(Q21/(SUM($Q$20:$Q$22)),"")</f>
        <v/>
      </c>
      <c r="S21" s="42"/>
      <c r="T21" s="42"/>
      <c r="U21" s="107"/>
      <c r="V21" s="12"/>
      <c r="W21" s="23"/>
      <c r="X21" s="21"/>
      <c r="Y21" s="23"/>
      <c r="Z21" s="42"/>
      <c r="AB21" s="12"/>
    </row>
    <row r="22" spans="2:29" s="14" customFormat="1">
      <c r="B22" s="186" t="s">
        <v>1008</v>
      </c>
      <c r="C22" s="184" t="s">
        <v>1107</v>
      </c>
      <c r="D22" s="179" t="s">
        <v>459</v>
      </c>
      <c r="E22" s="35"/>
      <c r="F22" s="21"/>
      <c r="G22" s="21"/>
      <c r="H22" s="20"/>
      <c r="I22" s="20"/>
      <c r="J22" s="302"/>
      <c r="K22" s="302"/>
      <c r="L22" s="302"/>
      <c r="M22" s="302"/>
      <c r="N22" s="242">
        <f t="shared" si="6"/>
        <v>0</v>
      </c>
      <c r="O22" s="12"/>
      <c r="P22" s="12"/>
      <c r="Q22" s="515">
        <f>IF($D22="MWh/yr (LHV)",$E22,$E22*MAX(0, $J22*(1-$L22)-2.441*$L22)/Conversion_kWh_to_MJ)</f>
        <v>0</v>
      </c>
      <c r="R22" s="245" t="str">
        <f t="shared" si="7"/>
        <v/>
      </c>
      <c r="S22" s="42"/>
      <c r="T22" s="42"/>
      <c r="U22" s="107"/>
      <c r="V22" s="12"/>
      <c r="W22" s="23"/>
      <c r="X22" s="21"/>
      <c r="Y22" s="23"/>
      <c r="Z22" s="42"/>
      <c r="AB22" s="12"/>
    </row>
    <row r="23" spans="2:29" s="14" customFormat="1">
      <c r="B23" s="186" t="s">
        <v>1013</v>
      </c>
      <c r="C23" s="184" t="s">
        <v>1108</v>
      </c>
      <c r="D23" s="179" t="s">
        <v>459</v>
      </c>
      <c r="E23" s="35"/>
      <c r="F23" s="21"/>
      <c r="G23" s="21"/>
      <c r="H23" s="20"/>
      <c r="I23" s="20"/>
      <c r="J23" s="302"/>
      <c r="K23" s="302"/>
      <c r="L23" s="302"/>
      <c r="M23" s="302"/>
      <c r="N23" s="242">
        <f t="shared" si="6"/>
        <v>0</v>
      </c>
      <c r="O23" s="12"/>
      <c r="P23" s="12"/>
      <c r="Q23" s="12"/>
      <c r="R23" s="12"/>
      <c r="S23" s="107"/>
      <c r="T23" s="107"/>
      <c r="U23" s="107"/>
      <c r="V23" s="12"/>
      <c r="W23" s="23"/>
      <c r="X23" s="21"/>
      <c r="Y23" s="23"/>
      <c r="Z23" s="42"/>
      <c r="AB23" s="12"/>
    </row>
    <row r="24" spans="2:29" s="14" customFormat="1">
      <c r="B24" s="186" t="s">
        <v>1013</v>
      </c>
      <c r="C24" s="184" t="s">
        <v>1015</v>
      </c>
      <c r="D24" s="179" t="s">
        <v>459</v>
      </c>
      <c r="E24" s="35"/>
      <c r="F24" s="21"/>
      <c r="G24" s="21"/>
      <c r="H24" s="20"/>
      <c r="I24" s="20"/>
      <c r="J24" s="302"/>
      <c r="K24" s="302"/>
      <c r="L24" s="302"/>
      <c r="M24" s="302"/>
      <c r="N24" s="242">
        <f t="shared" si="6"/>
        <v>0</v>
      </c>
      <c r="O24" s="12"/>
      <c r="P24" s="12"/>
      <c r="Q24" s="12"/>
      <c r="R24" s="12"/>
      <c r="S24" s="107"/>
      <c r="T24" s="107"/>
      <c r="U24" s="107"/>
      <c r="V24" s="12"/>
      <c r="W24" s="23"/>
      <c r="X24" s="21"/>
      <c r="Y24" s="23"/>
      <c r="Z24" s="42"/>
      <c r="AB24" s="12"/>
    </row>
    <row r="25" spans="2:29" s="14" customFormat="1">
      <c r="B25" s="186" t="s">
        <v>1016</v>
      </c>
      <c r="C25" s="184" t="s">
        <v>1017</v>
      </c>
      <c r="D25" s="179" t="s">
        <v>459</v>
      </c>
      <c r="E25" s="35"/>
      <c r="F25" s="21"/>
      <c r="G25" s="21"/>
      <c r="H25" s="20"/>
      <c r="I25" s="36"/>
      <c r="J25" s="300"/>
      <c r="K25" s="302"/>
      <c r="L25" s="302"/>
      <c r="M25" s="302"/>
      <c r="N25" s="242">
        <f t="shared" si="6"/>
        <v>0</v>
      </c>
      <c r="O25" s="12"/>
      <c r="P25" s="12"/>
      <c r="Q25" s="12"/>
      <c r="R25" s="12"/>
      <c r="S25" s="107"/>
      <c r="T25" s="107"/>
      <c r="U25" s="107"/>
      <c r="V25" s="12"/>
      <c r="X25" s="21"/>
    </row>
    <row r="26" spans="2:29" s="14" customFormat="1">
      <c r="B26" s="186" t="s">
        <v>1016</v>
      </c>
      <c r="C26" s="184" t="s">
        <v>1018</v>
      </c>
      <c r="D26" s="179" t="s">
        <v>459</v>
      </c>
      <c r="E26" s="35"/>
      <c r="F26" s="21"/>
      <c r="G26" s="21"/>
      <c r="H26" s="20"/>
      <c r="I26" s="36"/>
      <c r="J26" s="300"/>
      <c r="K26" s="302"/>
      <c r="L26" s="302"/>
      <c r="M26" s="302"/>
      <c r="N26" s="242">
        <f t="shared" si="6"/>
        <v>0</v>
      </c>
      <c r="O26" s="12"/>
      <c r="P26" s="12"/>
      <c r="Q26" s="12"/>
      <c r="R26" s="12"/>
      <c r="S26" s="107"/>
      <c r="T26" s="107"/>
      <c r="U26" s="107"/>
      <c r="V26" s="12"/>
      <c r="X26" s="21"/>
    </row>
    <row r="27" spans="2:29" s="14" customFormat="1">
      <c r="B27" s="186" t="s">
        <v>1057</v>
      </c>
      <c r="C27" s="184" t="s">
        <v>1182</v>
      </c>
      <c r="D27" s="179" t="s">
        <v>459</v>
      </c>
      <c r="E27" s="35"/>
      <c r="F27" s="34"/>
      <c r="G27" s="21"/>
      <c r="H27" s="20"/>
      <c r="I27" s="36"/>
      <c r="J27" s="300"/>
      <c r="K27" s="302"/>
      <c r="L27" s="302"/>
      <c r="M27" s="302"/>
      <c r="N27" s="242">
        <f t="shared" si="6"/>
        <v>0</v>
      </c>
      <c r="O27" s="12"/>
      <c r="P27" s="12"/>
      <c r="Q27" s="12"/>
      <c r="R27" s="12"/>
      <c r="S27" s="35">
        <v>1000</v>
      </c>
      <c r="T27" s="518"/>
      <c r="U27" s="35" t="s">
        <v>1118</v>
      </c>
      <c r="V27" s="242" t="str">
        <f>IFERROR(IF(D27="tonnes/yr", $S27*$E27/($N$20*3.6), $T27*$E27*3.6/($N$20*3.6)), "Unfilled fields to left")</f>
        <v>Unfilled fields to left</v>
      </c>
      <c r="X27" s="21"/>
    </row>
    <row r="28" spans="2:29" s="14" customFormat="1">
      <c r="B28" s="186" t="s">
        <v>1113</v>
      </c>
      <c r="C28" s="184" t="s">
        <v>1073</v>
      </c>
      <c r="D28" s="179" t="s">
        <v>459</v>
      </c>
      <c r="E28" s="35"/>
      <c r="F28" s="34"/>
      <c r="G28" s="21"/>
      <c r="H28" s="20"/>
      <c r="I28" s="36"/>
      <c r="J28" s="300"/>
      <c r="K28" s="302"/>
      <c r="L28" s="302"/>
      <c r="M28" s="302"/>
      <c r="N28" s="242">
        <f t="shared" si="6"/>
        <v>0</v>
      </c>
      <c r="O28" s="12"/>
      <c r="P28" s="12"/>
      <c r="Q28" s="12"/>
      <c r="R28" s="12"/>
      <c r="S28" s="35">
        <v>28000</v>
      </c>
      <c r="T28" s="518"/>
      <c r="U28" s="35" t="s">
        <v>1059</v>
      </c>
      <c r="V28" s="242" t="str">
        <f>IFERROR(IF(D28="tonnes/yr", $S28*$E28/($N$20*3.6), $T28*$E28*3.6/($N$20*3.6)), "Unfilled fields to left")</f>
        <v>Unfilled fields to left</v>
      </c>
      <c r="X28" s="21"/>
    </row>
    <row r="29" spans="2:29" s="14" customFormat="1">
      <c r="B29" s="186" t="s">
        <v>1113</v>
      </c>
      <c r="C29" s="184" t="s">
        <v>1075</v>
      </c>
      <c r="D29" s="179" t="s">
        <v>459</v>
      </c>
      <c r="E29" s="35"/>
      <c r="F29" s="21"/>
      <c r="G29" s="21"/>
      <c r="H29" s="20"/>
      <c r="I29" s="36"/>
      <c r="J29" s="300"/>
      <c r="K29" s="302"/>
      <c r="L29" s="302"/>
      <c r="M29" s="302"/>
      <c r="N29" s="242">
        <f t="shared" si="6"/>
        <v>0</v>
      </c>
      <c r="O29" s="12"/>
      <c r="P29" s="12"/>
      <c r="Q29" s="12"/>
      <c r="R29" s="12"/>
      <c r="S29" s="35">
        <v>265000</v>
      </c>
      <c r="T29" s="518"/>
      <c r="U29" s="35" t="s">
        <v>1059</v>
      </c>
      <c r="V29" s="242" t="str">
        <f>IFERROR(IF(D29="tonnes/yr", $S29*$E29/($N$20*3.6), $T29*$E29*3.6/($N$20*3.6)), "Unfilled fields to left")</f>
        <v>Unfilled fields to left</v>
      </c>
      <c r="X29" s="21"/>
    </row>
    <row r="30" spans="2:29" s="14" customFormat="1">
      <c r="B30" s="16"/>
      <c r="C30" s="15"/>
      <c r="D30" s="179"/>
      <c r="E30" s="35"/>
      <c r="F30" s="21"/>
      <c r="G30" s="21"/>
      <c r="H30" s="20"/>
      <c r="I30" s="36"/>
      <c r="J30" s="300"/>
      <c r="K30" s="302"/>
      <c r="L30" s="302"/>
      <c r="M30" s="302"/>
      <c r="N30" s="242">
        <f t="shared" si="6"/>
        <v>0</v>
      </c>
      <c r="O30" s="12"/>
      <c r="P30" s="12"/>
      <c r="Q30" s="12"/>
      <c r="R30" s="12"/>
      <c r="S30" s="300"/>
      <c r="T30" s="477"/>
      <c r="U30" s="302"/>
      <c r="V30" s="242" t="str">
        <f>IFERROR(IF(D30="tonnes/yr", $S30*$E30/($N$20*3.6), $T30*$E30*3.6/($N$20*3.6)), "Unfilled fields to left")</f>
        <v>Unfilled fields to left</v>
      </c>
      <c r="X30" s="21"/>
    </row>
    <row r="31" spans="2:29" s="14" customFormat="1">
      <c r="B31" s="16"/>
      <c r="C31" s="15"/>
      <c r="D31" s="179"/>
      <c r="E31" s="35"/>
      <c r="F31" s="21"/>
      <c r="G31" s="21"/>
      <c r="H31" s="20"/>
      <c r="I31" s="36"/>
      <c r="J31" s="300"/>
      <c r="K31" s="302"/>
      <c r="L31" s="302"/>
      <c r="M31" s="302"/>
      <c r="N31" s="242">
        <f t="shared" si="6"/>
        <v>0</v>
      </c>
      <c r="O31" s="12"/>
      <c r="P31" s="12"/>
      <c r="Q31" s="12"/>
      <c r="R31" s="12"/>
      <c r="S31" s="300"/>
      <c r="T31" s="477"/>
      <c r="U31" s="302"/>
      <c r="V31" s="242" t="str">
        <f>IFERROR(IF(D31="tonnes/yr", $S31*$E31/($N$20*3.6), $T31*$E31*3.6/($N$20*3.6)), "Unfilled fields to left")</f>
        <v>Unfilled fields to left</v>
      </c>
      <c r="X31" s="21"/>
    </row>
    <row r="32" spans="2:29">
      <c r="C32" s="17"/>
      <c r="D32" s="17"/>
      <c r="E32" s="140"/>
      <c r="F32" s="17"/>
      <c r="H32" s="18"/>
      <c r="I32" s="18"/>
      <c r="J32" s="40"/>
      <c r="K32" s="40"/>
      <c r="L32" s="40"/>
      <c r="M32" s="40"/>
      <c r="N32" s="40"/>
      <c r="O32" s="12"/>
      <c r="P32" s="12"/>
      <c r="S32" s="40"/>
      <c r="T32" s="40"/>
      <c r="U32" s="40"/>
      <c r="V32" s="40"/>
      <c r="Y32" s="12"/>
    </row>
    <row r="33" spans="2:25">
      <c r="D33" s="17"/>
      <c r="E33" s="140"/>
      <c r="J33" s="39"/>
      <c r="K33" s="39"/>
      <c r="L33" s="39"/>
      <c r="M33" s="39"/>
      <c r="O33" s="12"/>
      <c r="P33" s="12"/>
      <c r="S33" s="39"/>
      <c r="T33" s="39"/>
      <c r="U33" s="38" t="s">
        <v>1114</v>
      </c>
      <c r="V33" s="153">
        <f>SUM(V7:V32)</f>
        <v>0</v>
      </c>
      <c r="Y33" s="12"/>
    </row>
    <row r="34" spans="2:25">
      <c r="B34" s="145" t="s">
        <v>132</v>
      </c>
      <c r="C34" s="159"/>
      <c r="D34" s="159"/>
      <c r="E34" s="499"/>
      <c r="I34" s="12"/>
      <c r="J34" s="107"/>
      <c r="K34" s="107"/>
      <c r="L34" s="107"/>
      <c r="M34" s="107"/>
      <c r="N34" s="107"/>
      <c r="O34" s="12"/>
      <c r="P34" s="12"/>
      <c r="S34" s="107"/>
      <c r="T34" s="107"/>
      <c r="U34" s="107"/>
      <c r="Y34" s="12"/>
    </row>
    <row r="35" spans="2:25">
      <c r="B35" s="16" t="s">
        <v>1086</v>
      </c>
      <c r="C35" s="15" t="s">
        <v>1087</v>
      </c>
      <c r="D35" s="15" t="s">
        <v>1088</v>
      </c>
      <c r="E35" s="501"/>
      <c r="G35" s="19"/>
      <c r="H35" s="12"/>
      <c r="I35" s="12"/>
      <c r="J35" s="107"/>
      <c r="K35" s="107"/>
      <c r="L35" s="107"/>
      <c r="M35" s="107"/>
      <c r="N35" s="107"/>
      <c r="O35" s="12"/>
      <c r="P35" s="12"/>
      <c r="S35" s="107"/>
      <c r="T35" s="107"/>
      <c r="U35" s="107"/>
      <c r="V35" s="12"/>
      <c r="X35" s="25"/>
      <c r="Y35" s="12"/>
    </row>
    <row r="36" spans="2:25">
      <c r="B36" s="16" t="s">
        <v>1119</v>
      </c>
      <c r="C36" s="15" t="s">
        <v>1120</v>
      </c>
      <c r="D36" s="15" t="s">
        <v>299</v>
      </c>
      <c r="E36" s="501"/>
      <c r="H36" s="12"/>
      <c r="I36" s="12"/>
      <c r="J36" s="107"/>
      <c r="K36" s="107"/>
      <c r="L36" s="107"/>
      <c r="M36" s="107"/>
      <c r="N36" s="107"/>
      <c r="O36" s="12"/>
      <c r="P36" s="12"/>
      <c r="S36" s="107"/>
      <c r="T36" s="107"/>
      <c r="U36" s="107"/>
      <c r="V36" s="12"/>
      <c r="X36" s="25"/>
      <c r="Y36" s="12"/>
    </row>
    <row r="37" spans="2:25">
      <c r="B37" s="16"/>
      <c r="C37" s="15"/>
      <c r="D37" s="15"/>
      <c r="E37" s="507"/>
      <c r="J37" s="39"/>
      <c r="K37" s="39"/>
      <c r="L37" s="39"/>
      <c r="M37" s="39"/>
      <c r="S37" s="39"/>
      <c r="T37" s="39"/>
      <c r="U37" s="39"/>
      <c r="X37" s="25"/>
    </row>
    <row r="38" spans="2:25">
      <c r="B38" s="16"/>
      <c r="C38" s="15"/>
      <c r="D38" s="15"/>
      <c r="E38" s="507"/>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J6" activePane="bottomRight" state="frozen"/>
      <selection pane="bottomRight" activeCell="D2" sqref="D2"/>
      <pageMargins left="0" right="0" top="0" bottom="0" header="0" footer="0"/>
      <pageSetup paperSize="9" orientation="portrait" r:id="rId4"/>
    </customSheetView>
    <customSheetView guid="{E6EFD927-84B2-4D06-BB59-59D9DF522DA2}" showGridLines="0">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J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34F9D7AD-3723-426E-81C9-06608190343A}">
      <formula1>Flow_units</formula1>
    </dataValidation>
    <dataValidation type="custom" allowBlank="1" showInputMessage="1" showErrorMessage="1" error="Please do not change this formula" prompt="Please do not change this formula" sqref="V6:V1048576 W4 V1:V4 S5:V5" xr:uid="{C10AFCA0-0889-41A6-9B0C-C500BEC572C2}">
      <formula1>"Please do not change this formula"</formula1>
    </dataValidation>
    <dataValidation type="custom" allowBlank="1" showInputMessage="1" showErrorMessage="1" error="Please do not change this formula" sqref="R6:R19 R23:R1048576 N1:N1048576 O1:R5 O6:Q1048576" xr:uid="{639A0909-DD44-411B-96A8-C45C6DA01557}">
      <formula1>"Please do not change this formula"</formula1>
    </dataValidation>
    <dataValidation type="custom" allowBlank="1" showInputMessage="1" showErrorMessage="1" error="Please do not change" sqref="R20:R22" xr:uid="{0AF3FDB1-E808-4D13-8862-772DAD4F8B26}">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005A4CBC-5682-4321-B92E-BD45AC87A37B}">
      <formula1>0</formula1>
    </dataValidation>
  </dataValidations>
  <hyperlinks>
    <hyperlink ref="I2:J2" location="'Biomass Pre-Processing'!A1" display="Go to the next step of this pathway" xr:uid="{AC21E326-B167-414C-94AA-F2C071B042A5}"/>
    <hyperlink ref="I2:K2" location="'Biomass_Pre-Processing'!A1" display="Go to the next step of this pathway" xr:uid="{7E187848-98A3-4CEC-A65F-E6DB996A151D}"/>
  </hyperlinks>
  <pageMargins left="0" right="0" top="0" bottom="0" header="0" footer="0"/>
  <pageSetup paperSize="9" orientation="portrait" r:id="rId10"/>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2D00-000001000000}">
            <xm:f>AND(Path&lt;&gt;Units!$B$135,Path&lt;&gt;Units!$B$136,Master_Switch="On")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25" id="{00000000-000E-0000-2400-000018000000}">
            <xm:f>AND(GHG_BIOMASS_GASIFICATION!$D$5="Default",Master_Switch="On")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8169E-69F2-4643-97B7-BF3922B7A3D5}">
  <sheetPr codeName="Sheet31">
    <tabColor rgb="FFCCFF66"/>
  </sheetPr>
  <dimension ref="A1:AC191"/>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55"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17.81640625" customWidth="1"/>
    <col min="16" max="16" width="9.26953125" style="12" customWidth="1"/>
    <col min="17" max="17" width="18.81640625" style="12" customWidth="1"/>
    <col min="18" max="18" width="17.54296875" style="12" customWidth="1"/>
    <col min="19" max="20" width="20.7265625" style="13" customWidth="1"/>
    <col min="21" max="21" width="22.7265625" style="13" customWidth="1"/>
    <col min="22" max="22" width="20.26953125" style="39" customWidth="1"/>
    <col min="23" max="23" width="7.1796875" style="12" customWidth="1"/>
    <col min="24" max="24" width="26" style="12" customWidth="1"/>
    <col min="26" max="16384" width="7.1796875" style="12"/>
  </cols>
  <sheetData>
    <row r="1" spans="1:29" ht="31.9" customHeight="1">
      <c r="A1" s="80" t="str">
        <f>IF(AND(Path&lt;&gt;Units!$B$135,Path&lt;&gt;Units!$B$136,Master_Switch="On"),"User should not fill in this sheet, but switch to other non-blank GHG worksheets","")</f>
        <v>User should not fill in this sheet, but switch to other non-blank GHG worksheets</v>
      </c>
      <c r="E1" s="256"/>
    </row>
    <row r="2" spans="1:29" ht="20.5" customHeight="1">
      <c r="B2" s="80" t="str">
        <f>IF(AND(GHG_BIOMASS_GASIFICATION!$D$5="Default",Master_Switch="On"),"Default data selected for this step, move to the next step of the pathway","")</f>
        <v/>
      </c>
      <c r="E2" s="256"/>
      <c r="I2" s="729" t="s">
        <v>1093</v>
      </c>
      <c r="J2" s="731"/>
      <c r="K2" s="732"/>
      <c r="L2" s="39"/>
      <c r="M2" s="39"/>
    </row>
    <row r="3" spans="1:29" ht="15" customHeight="1">
      <c r="E3" s="256"/>
      <c r="L3" s="39"/>
      <c r="M3" s="39"/>
    </row>
    <row r="4" spans="1:29" ht="15.65" customHeight="1" thickBot="1">
      <c r="B4" s="3"/>
      <c r="C4" s="3"/>
      <c r="D4" s="3"/>
      <c r="E4" s="455"/>
      <c r="F4" s="3"/>
      <c r="G4" s="3"/>
      <c r="H4" s="1"/>
      <c r="I4" s="1"/>
      <c r="J4" s="1"/>
      <c r="K4" s="1"/>
      <c r="L4" s="1"/>
      <c r="M4" s="1"/>
      <c r="N4" s="37"/>
      <c r="O4" s="1"/>
      <c r="P4" s="3"/>
      <c r="Q4" s="3"/>
      <c r="R4" s="3"/>
      <c r="S4" s="1"/>
      <c r="T4" s="1"/>
      <c r="U4" s="1"/>
      <c r="V4" s="37"/>
      <c r="W4" s="37"/>
      <c r="X4" s="3"/>
    </row>
    <row r="5" spans="1:29"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9" ht="15" thickTop="1">
      <c r="E6" s="457"/>
      <c r="R6"/>
      <c r="S6"/>
      <c r="T6"/>
      <c r="U6"/>
      <c r="V6"/>
    </row>
    <row r="7" spans="1:29">
      <c r="B7" s="145" t="s">
        <v>1097</v>
      </c>
      <c r="C7" s="145"/>
      <c r="D7" s="145"/>
      <c r="E7" s="324"/>
      <c r="F7" s="145"/>
      <c r="G7" s="145"/>
      <c r="H7" s="145"/>
      <c r="I7" s="145"/>
      <c r="J7" s="145"/>
      <c r="K7" s="145"/>
      <c r="L7" s="145"/>
      <c r="M7" s="145"/>
      <c r="N7" s="301"/>
      <c r="R7"/>
      <c r="S7"/>
      <c r="T7"/>
      <c r="U7"/>
      <c r="V7"/>
      <c r="W7" s="19"/>
      <c r="X7" s="19"/>
      <c r="Y7" s="19"/>
      <c r="Z7" s="19"/>
      <c r="AA7" s="19"/>
      <c r="AB7" s="19"/>
      <c r="AC7" s="19"/>
    </row>
    <row r="8" spans="1:29">
      <c r="B8" s="16" t="s">
        <v>1115</v>
      </c>
      <c r="C8" s="184" t="s">
        <v>1217</v>
      </c>
      <c r="D8" s="179" t="s">
        <v>459</v>
      </c>
      <c r="E8" s="35"/>
      <c r="F8" s="21"/>
      <c r="G8" s="21"/>
      <c r="H8" s="20"/>
      <c r="I8" s="20"/>
      <c r="J8" s="300"/>
      <c r="K8" s="302"/>
      <c r="L8" s="302"/>
      <c r="M8" s="302"/>
      <c r="N8" s="242">
        <f t="shared" ref="N8:N17" si="0">IF($D8="MWh/yr (LHV)",$E8,$J8*$E8*(1-$L8)/Conversion_kWh_to_MJ)</f>
        <v>0</v>
      </c>
      <c r="O8" s="12"/>
      <c r="S8" s="107"/>
      <c r="T8" s="107"/>
      <c r="U8" s="107"/>
      <c r="V8" s="12"/>
      <c r="X8" s="24"/>
      <c r="Y8" s="12"/>
    </row>
    <row r="9" spans="1:29">
      <c r="B9" s="186" t="s">
        <v>1021</v>
      </c>
      <c r="C9" s="184" t="s">
        <v>1218</v>
      </c>
      <c r="D9" s="179" t="s">
        <v>479</v>
      </c>
      <c r="E9" s="35"/>
      <c r="F9" s="21"/>
      <c r="G9" s="21"/>
      <c r="H9" s="20"/>
      <c r="I9" s="36"/>
      <c r="J9" s="300"/>
      <c r="K9" s="302"/>
      <c r="L9" s="302"/>
      <c r="M9" s="302"/>
      <c r="N9" s="242">
        <f t="shared" si="0"/>
        <v>0</v>
      </c>
      <c r="O9" s="12"/>
      <c r="S9" s="35" t="str">
        <f t="shared" ref="S9:S17" si="1">IF(B9="", "", IF(D9="MWh/yr (LHV)", "Use column to right", "Enter data here"))</f>
        <v>Use column to right</v>
      </c>
      <c r="T9" s="35" t="e">
        <f>INDEX(Proj_grid_intensity_kWh,MATCH(Operations_year,Proj_grid_year,0))/Conversion_kWh_to_MJ</f>
        <v>#N/A</v>
      </c>
      <c r="U9" s="35" t="s">
        <v>1064</v>
      </c>
      <c r="V9" s="242" t="str">
        <f t="shared" ref="V9:V17" si="2">IFERROR(IF(D9="tonnes/yr", $S9*$E9/($N$20*3.6), $T9*$E9*3.6/($N$20*3.6)), "Unfilled fields to left")</f>
        <v>Unfilled fields to left</v>
      </c>
      <c r="X9" s="25"/>
      <c r="Y9" s="12"/>
    </row>
    <row r="10" spans="1:29">
      <c r="B10" s="186" t="s">
        <v>1021</v>
      </c>
      <c r="C10" s="184"/>
      <c r="D10" s="179"/>
      <c r="E10" s="35"/>
      <c r="F10" s="21"/>
      <c r="G10" s="21"/>
      <c r="H10" s="20"/>
      <c r="I10" s="36"/>
      <c r="J10" s="300"/>
      <c r="K10" s="302"/>
      <c r="L10" s="302"/>
      <c r="M10" s="302"/>
      <c r="N10" s="242">
        <f t="shared" si="0"/>
        <v>0</v>
      </c>
      <c r="O10" s="12"/>
      <c r="S10" s="35" t="str">
        <f t="shared" si="1"/>
        <v>Enter data here</v>
      </c>
      <c r="T10" s="35" t="str">
        <f t="shared" ref="T10:T17" si="3">IF(B10="", "", IF(D10="MWh/yr (LHV)", "Enter data here", "Use column to left"))</f>
        <v>Use column to left</v>
      </c>
      <c r="U10" s="35" t="s">
        <v>1100</v>
      </c>
      <c r="V10" s="242" t="str">
        <f t="shared" si="2"/>
        <v>Unfilled fields to left</v>
      </c>
      <c r="X10" s="25"/>
      <c r="Y10" s="12"/>
    </row>
    <row r="11" spans="1:29">
      <c r="B11" s="186" t="s">
        <v>1042</v>
      </c>
      <c r="C11" s="184" t="s">
        <v>1043</v>
      </c>
      <c r="D11" s="179" t="s">
        <v>459</v>
      </c>
      <c r="E11" s="35"/>
      <c r="F11" s="21"/>
      <c r="G11" s="21"/>
      <c r="H11" s="20"/>
      <c r="I11" s="36"/>
      <c r="J11" s="300"/>
      <c r="K11" s="302"/>
      <c r="L11" s="302"/>
      <c r="M11" s="302"/>
      <c r="N11" s="242">
        <f t="shared" si="0"/>
        <v>0</v>
      </c>
      <c r="O11" s="12"/>
      <c r="S11" s="35" t="str">
        <f t="shared" si="1"/>
        <v>Enter data here</v>
      </c>
      <c r="T11" s="35" t="str">
        <f t="shared" si="3"/>
        <v>Use column to left</v>
      </c>
      <c r="U11" s="35" t="s">
        <v>1100</v>
      </c>
      <c r="V11" s="242" t="str">
        <f t="shared" si="2"/>
        <v>Unfilled fields to left</v>
      </c>
      <c r="X11" s="25"/>
      <c r="Y11" s="12"/>
    </row>
    <row r="12" spans="1:29">
      <c r="B12" s="186" t="s">
        <v>1042</v>
      </c>
      <c r="C12" s="184" t="s">
        <v>1045</v>
      </c>
      <c r="D12" s="179" t="s">
        <v>459</v>
      </c>
      <c r="E12" s="35"/>
      <c r="F12" s="21"/>
      <c r="G12" s="21"/>
      <c r="H12" s="20"/>
      <c r="I12" s="36"/>
      <c r="J12" s="300"/>
      <c r="K12" s="302"/>
      <c r="L12" s="302"/>
      <c r="M12" s="302"/>
      <c r="N12" s="242">
        <f t="shared" si="0"/>
        <v>0</v>
      </c>
      <c r="O12" s="12"/>
      <c r="S12" s="35" t="str">
        <f t="shared" si="1"/>
        <v>Enter data here</v>
      </c>
      <c r="T12" s="35" t="str">
        <f t="shared" si="3"/>
        <v>Use column to left</v>
      </c>
      <c r="U12" s="35" t="s">
        <v>1100</v>
      </c>
      <c r="V12" s="242" t="str">
        <f t="shared" si="2"/>
        <v>Unfilled fields to left</v>
      </c>
      <c r="X12" s="25"/>
      <c r="Y12" s="12"/>
    </row>
    <row r="13" spans="1:29">
      <c r="B13" s="186" t="s">
        <v>1051</v>
      </c>
      <c r="C13" s="184" t="s">
        <v>1010</v>
      </c>
      <c r="D13" s="179" t="s">
        <v>459</v>
      </c>
      <c r="E13" s="35"/>
      <c r="F13" s="21"/>
      <c r="G13" s="21"/>
      <c r="H13" s="20"/>
      <c r="I13" s="36"/>
      <c r="J13" s="300"/>
      <c r="K13" s="302"/>
      <c r="L13" s="302"/>
      <c r="M13" s="302"/>
      <c r="N13" s="242">
        <f t="shared" si="0"/>
        <v>0</v>
      </c>
      <c r="O13" s="12"/>
      <c r="S13" s="35" t="str">
        <f t="shared" si="1"/>
        <v>Enter data here</v>
      </c>
      <c r="T13" s="35" t="str">
        <f t="shared" si="3"/>
        <v>Use column to left</v>
      </c>
      <c r="U13" s="35" t="s">
        <v>1100</v>
      </c>
      <c r="V13" s="242" t="str">
        <f t="shared" si="2"/>
        <v>Unfilled fields to left</v>
      </c>
      <c r="X13" s="25"/>
      <c r="Y13" s="12"/>
    </row>
    <row r="14" spans="1:29">
      <c r="B14" s="186" t="s">
        <v>1051</v>
      </c>
      <c r="C14" s="184" t="s">
        <v>1101</v>
      </c>
      <c r="D14" s="179" t="s">
        <v>459</v>
      </c>
      <c r="E14" s="35"/>
      <c r="F14" s="21"/>
      <c r="G14" s="21"/>
      <c r="H14" s="20"/>
      <c r="I14" s="36"/>
      <c r="J14" s="300"/>
      <c r="K14" s="302"/>
      <c r="L14" s="302"/>
      <c r="M14" s="302"/>
      <c r="N14" s="242">
        <f t="shared" si="0"/>
        <v>0</v>
      </c>
      <c r="O14" s="12"/>
      <c r="S14" s="35" t="str">
        <f t="shared" si="1"/>
        <v>Enter data here</v>
      </c>
      <c r="T14" s="35" t="str">
        <f t="shared" si="3"/>
        <v>Use column to left</v>
      </c>
      <c r="U14" s="35" t="s">
        <v>1100</v>
      </c>
      <c r="V14" s="242" t="str">
        <f t="shared" si="2"/>
        <v>Unfilled fields to left</v>
      </c>
      <c r="X14" s="25"/>
      <c r="Y14" s="12"/>
    </row>
    <row r="15" spans="1:29">
      <c r="B15" s="186" t="s">
        <v>1177</v>
      </c>
      <c r="C15" s="184" t="s">
        <v>1055</v>
      </c>
      <c r="D15" s="179" t="s">
        <v>459</v>
      </c>
      <c r="E15" s="35"/>
      <c r="F15" s="21"/>
      <c r="G15" s="21"/>
      <c r="H15" s="20"/>
      <c r="I15" s="36"/>
      <c r="J15" s="300"/>
      <c r="K15" s="302"/>
      <c r="L15" s="302"/>
      <c r="M15" s="302"/>
      <c r="N15" s="242">
        <f t="shared" si="0"/>
        <v>0</v>
      </c>
      <c r="O15" s="12"/>
      <c r="S15" s="35" t="str">
        <f t="shared" si="1"/>
        <v>Enter data here</v>
      </c>
      <c r="T15" s="35" t="str">
        <f t="shared" si="3"/>
        <v>Use column to left</v>
      </c>
      <c r="U15" s="35" t="s">
        <v>1100</v>
      </c>
      <c r="V15" s="242" t="str">
        <f t="shared" si="2"/>
        <v>Unfilled fields to left</v>
      </c>
      <c r="X15" s="25"/>
      <c r="Y15" s="12"/>
    </row>
    <row r="16" spans="1:29">
      <c r="B16" s="186" t="s">
        <v>1177</v>
      </c>
      <c r="C16" s="184" t="s">
        <v>1219</v>
      </c>
      <c r="D16" s="179" t="s">
        <v>459</v>
      </c>
      <c r="E16" s="35"/>
      <c r="F16" s="21"/>
      <c r="G16" s="21"/>
      <c r="H16" s="20"/>
      <c r="I16" s="36"/>
      <c r="J16" s="300"/>
      <c r="K16" s="302"/>
      <c r="L16" s="302"/>
      <c r="M16" s="302"/>
      <c r="N16" s="242">
        <f t="shared" si="0"/>
        <v>0</v>
      </c>
      <c r="O16" s="12"/>
      <c r="S16" s="35" t="str">
        <f t="shared" si="1"/>
        <v>Enter data here</v>
      </c>
      <c r="T16" s="35" t="str">
        <f t="shared" si="3"/>
        <v>Use column to left</v>
      </c>
      <c r="U16" s="35" t="s">
        <v>1100</v>
      </c>
      <c r="V16" s="242" t="str">
        <f t="shared" si="2"/>
        <v>Unfilled fields to left</v>
      </c>
      <c r="X16" s="25"/>
      <c r="Y16" s="12"/>
    </row>
    <row r="17" spans="2:29">
      <c r="B17" s="16"/>
      <c r="C17" s="15"/>
      <c r="D17" s="179"/>
      <c r="E17" s="35"/>
      <c r="F17" s="21"/>
      <c r="G17" s="21"/>
      <c r="H17" s="20"/>
      <c r="I17" s="36"/>
      <c r="J17" s="300"/>
      <c r="K17" s="302"/>
      <c r="L17" s="302"/>
      <c r="M17" s="302"/>
      <c r="N17" s="242">
        <f t="shared" si="0"/>
        <v>0</v>
      </c>
      <c r="O17" s="12"/>
      <c r="S17" s="35" t="str">
        <f t="shared" si="1"/>
        <v/>
      </c>
      <c r="T17" s="35" t="str">
        <f t="shared" si="3"/>
        <v/>
      </c>
      <c r="U17" s="35"/>
      <c r="V17" s="242" t="str">
        <f t="shared" si="2"/>
        <v>Unfilled fields to left</v>
      </c>
      <c r="X17" s="25"/>
      <c r="Y17" s="12"/>
    </row>
    <row r="18" spans="2:29">
      <c r="C18" s="17"/>
      <c r="D18" s="17"/>
      <c r="E18" s="506"/>
      <c r="F18" s="26"/>
      <c r="G18" s="27"/>
      <c r="H18" s="22"/>
      <c r="I18" s="22"/>
      <c r="J18" s="41"/>
      <c r="K18" s="41"/>
      <c r="L18" s="41"/>
      <c r="M18" s="41"/>
      <c r="N18" s="41"/>
      <c r="O18" s="12"/>
      <c r="S18" s="41"/>
      <c r="T18" s="41"/>
      <c r="U18" s="41"/>
      <c r="V18" s="41"/>
      <c r="X18" s="27"/>
      <c r="Y18" s="12"/>
    </row>
    <row r="19" spans="2:29">
      <c r="B19" s="145" t="s">
        <v>1103</v>
      </c>
      <c r="C19" s="145"/>
      <c r="D19" s="145"/>
      <c r="E19" s="301"/>
      <c r="F19" s="145"/>
      <c r="G19" s="145"/>
      <c r="H19" s="145"/>
      <c r="I19" s="145"/>
      <c r="J19" s="301"/>
      <c r="K19" s="301"/>
      <c r="L19" s="301"/>
      <c r="M19" s="301"/>
      <c r="N19" s="301"/>
      <c r="R19"/>
      <c r="S19" s="40"/>
      <c r="T19" s="40"/>
      <c r="U19" s="40"/>
      <c r="V19" s="40"/>
      <c r="W19" s="19"/>
      <c r="X19" s="19"/>
      <c r="Y19" s="19"/>
      <c r="Z19" s="19"/>
      <c r="AA19" s="19"/>
      <c r="AB19" s="19"/>
      <c r="AC19" s="19"/>
    </row>
    <row r="20" spans="2:29">
      <c r="B20" s="16" t="s">
        <v>1104</v>
      </c>
      <c r="C20" s="184" t="s">
        <v>1220</v>
      </c>
      <c r="D20" s="179" t="s">
        <v>459</v>
      </c>
      <c r="E20" s="35"/>
      <c r="F20" s="21"/>
      <c r="G20" s="21"/>
      <c r="H20" s="21"/>
      <c r="I20" s="21"/>
      <c r="J20" s="300"/>
      <c r="K20" s="306"/>
      <c r="L20" s="306"/>
      <c r="M20" s="306"/>
      <c r="N20" s="242">
        <f t="shared" ref="N20:N34" si="4">IF($D20="MWh/yr (LHV)",$E20,$J20*$E20*(1-$L20)/Conversion_kWh_to_MJ)</f>
        <v>0</v>
      </c>
      <c r="O20" s="246" t="str">
        <f>IFERROR(N20/N8,"")</f>
        <v/>
      </c>
      <c r="Q20" s="515">
        <f>IF($D20="MWh/yr (LHV)",$E20,$E20*MAX(0, $J20*(1-$L20)-2.441*$L20)/Conversion_kWh_to_MJ)</f>
        <v>0</v>
      </c>
      <c r="R20" s="245" t="str">
        <f>IFERROR(Q20/(SUM($Q$20:$Q$22)),"")</f>
        <v/>
      </c>
      <c r="S20" s="42"/>
      <c r="T20" s="42"/>
      <c r="U20" s="42"/>
      <c r="V20" s="42"/>
      <c r="X20" s="21"/>
      <c r="Y20" s="12"/>
    </row>
    <row r="21" spans="2:29" s="14" customFormat="1">
      <c r="B21" s="186" t="s">
        <v>1008</v>
      </c>
      <c r="C21" s="184" t="s">
        <v>1106</v>
      </c>
      <c r="D21" s="179" t="s">
        <v>459</v>
      </c>
      <c r="E21" s="35"/>
      <c r="F21" s="21"/>
      <c r="G21" s="21"/>
      <c r="H21" s="20"/>
      <c r="I21" s="33"/>
      <c r="J21" s="300"/>
      <c r="K21" s="302"/>
      <c r="L21" s="302"/>
      <c r="M21" s="302"/>
      <c r="N21" s="242">
        <f t="shared" si="4"/>
        <v>0</v>
      </c>
      <c r="O21" s="12"/>
      <c r="P21" s="12"/>
      <c r="Q21" s="515">
        <f>IF($D21="MWh/yr (LHV)",$E21,$E21*MAX(0, $J21*(1-$L21)-2.441*$L21)/Conversion_kWh_to_MJ)</f>
        <v>0</v>
      </c>
      <c r="R21" s="245" t="str">
        <f t="shared" ref="R21:R22" si="5">IFERROR(Q21/(SUM($Q$20:$Q$22)),"")</f>
        <v/>
      </c>
      <c r="S21" s="42"/>
      <c r="T21" s="42"/>
      <c r="U21" s="107"/>
      <c r="V21" s="12"/>
      <c r="W21" s="23"/>
      <c r="X21" s="21"/>
      <c r="Y21" s="23"/>
      <c r="Z21" s="42"/>
      <c r="AB21" s="12"/>
    </row>
    <row r="22" spans="2:29" s="14" customFormat="1">
      <c r="B22" s="186" t="s">
        <v>1008</v>
      </c>
      <c r="C22" s="184" t="s">
        <v>1107</v>
      </c>
      <c r="D22" s="179" t="s">
        <v>459</v>
      </c>
      <c r="E22" s="35"/>
      <c r="F22" s="21"/>
      <c r="G22" s="21"/>
      <c r="H22" s="20"/>
      <c r="I22" s="20"/>
      <c r="J22" s="302"/>
      <c r="K22" s="302"/>
      <c r="L22" s="302"/>
      <c r="M22" s="302"/>
      <c r="N22" s="242">
        <f t="shared" si="4"/>
        <v>0</v>
      </c>
      <c r="O22" s="12"/>
      <c r="P22" s="12"/>
      <c r="Q22" s="515">
        <f>IF($D22="MWh/yr (LHV)",$E22,$E22*MAX(0, $J22*(1-$L22)-2.441*$L22)/Conversion_kWh_to_MJ)</f>
        <v>0</v>
      </c>
      <c r="R22" s="245" t="str">
        <f t="shared" si="5"/>
        <v/>
      </c>
      <c r="S22" s="42"/>
      <c r="T22" s="42"/>
      <c r="U22" s="107"/>
      <c r="V22" s="12"/>
      <c r="W22" s="23"/>
      <c r="X22" s="21"/>
      <c r="Y22" s="23"/>
      <c r="Z22" s="42"/>
      <c r="AB22" s="12"/>
    </row>
    <row r="23" spans="2:29" s="14" customFormat="1">
      <c r="B23" s="186" t="s">
        <v>1013</v>
      </c>
      <c r="C23" s="184" t="s">
        <v>1108</v>
      </c>
      <c r="D23" s="179" t="s">
        <v>459</v>
      </c>
      <c r="E23" s="35"/>
      <c r="F23" s="21"/>
      <c r="G23" s="21"/>
      <c r="H23" s="20"/>
      <c r="I23" s="20"/>
      <c r="J23" s="302"/>
      <c r="K23" s="302"/>
      <c r="L23" s="302"/>
      <c r="M23" s="302"/>
      <c r="N23" s="242">
        <f t="shared" si="4"/>
        <v>0</v>
      </c>
      <c r="O23" s="12"/>
      <c r="P23" s="12"/>
      <c r="Q23" s="12"/>
      <c r="R23" s="12"/>
      <c r="S23" s="107"/>
      <c r="T23" s="107"/>
      <c r="U23" s="107"/>
      <c r="V23" s="12"/>
      <c r="W23" s="23"/>
      <c r="X23" s="21"/>
      <c r="Y23" s="23"/>
      <c r="Z23" s="42"/>
      <c r="AB23" s="12"/>
    </row>
    <row r="24" spans="2:29" s="14" customFormat="1">
      <c r="B24" s="186" t="s">
        <v>1013</v>
      </c>
      <c r="C24" s="184" t="s">
        <v>1015</v>
      </c>
      <c r="D24" s="179" t="s">
        <v>459</v>
      </c>
      <c r="E24" s="35"/>
      <c r="F24" s="21"/>
      <c r="G24" s="21"/>
      <c r="H24" s="20"/>
      <c r="I24" s="20"/>
      <c r="J24" s="302"/>
      <c r="K24" s="302"/>
      <c r="L24" s="302"/>
      <c r="M24" s="302"/>
      <c r="N24" s="242">
        <f t="shared" si="4"/>
        <v>0</v>
      </c>
      <c r="O24" s="12"/>
      <c r="P24" s="12"/>
      <c r="Q24" s="12"/>
      <c r="R24" s="12"/>
      <c r="S24" s="107"/>
      <c r="T24" s="107"/>
      <c r="U24" s="107"/>
      <c r="V24" s="12"/>
      <c r="W24" s="23"/>
      <c r="X24" s="21"/>
      <c r="Y24" s="23"/>
      <c r="Z24" s="42"/>
      <c r="AB24" s="12"/>
    </row>
    <row r="25" spans="2:29" s="14" customFormat="1">
      <c r="B25" s="186" t="s">
        <v>1016</v>
      </c>
      <c r="C25" s="184" t="s">
        <v>1017</v>
      </c>
      <c r="D25" s="179" t="s">
        <v>459</v>
      </c>
      <c r="E25" s="35"/>
      <c r="F25" s="21"/>
      <c r="G25" s="21"/>
      <c r="H25" s="20"/>
      <c r="I25" s="36"/>
      <c r="J25" s="300"/>
      <c r="K25" s="302"/>
      <c r="L25" s="302"/>
      <c r="M25" s="302"/>
      <c r="N25" s="242">
        <f t="shared" si="4"/>
        <v>0</v>
      </c>
      <c r="O25" s="12"/>
      <c r="P25" s="12"/>
      <c r="Q25" s="12"/>
      <c r="R25" s="12"/>
      <c r="S25" s="107"/>
      <c r="T25" s="107"/>
      <c r="U25" s="107"/>
      <c r="V25" s="12"/>
      <c r="X25" s="21"/>
    </row>
    <row r="26" spans="2:29" s="14" customFormat="1">
      <c r="B26" s="186" t="s">
        <v>1016</v>
      </c>
      <c r="C26" s="184" t="s">
        <v>1018</v>
      </c>
      <c r="D26" s="179" t="s">
        <v>459</v>
      </c>
      <c r="E26" s="35"/>
      <c r="F26" s="21"/>
      <c r="G26" s="21"/>
      <c r="H26" s="20"/>
      <c r="I26" s="36"/>
      <c r="J26" s="300"/>
      <c r="K26" s="302"/>
      <c r="L26" s="302"/>
      <c r="M26" s="302"/>
      <c r="N26" s="242">
        <f t="shared" si="4"/>
        <v>0</v>
      </c>
      <c r="O26" s="12"/>
      <c r="P26" s="12"/>
      <c r="Q26" s="12"/>
      <c r="R26" s="12"/>
      <c r="S26" s="107"/>
      <c r="T26" s="107"/>
      <c r="U26" s="107"/>
      <c r="V26" s="12"/>
      <c r="X26" s="21"/>
    </row>
    <row r="27" spans="2:29" s="14" customFormat="1">
      <c r="B27" s="186" t="s">
        <v>1057</v>
      </c>
      <c r="C27" s="184" t="s">
        <v>1221</v>
      </c>
      <c r="D27" s="179" t="s">
        <v>459</v>
      </c>
      <c r="E27" s="35"/>
      <c r="F27" s="34"/>
      <c r="G27" s="21"/>
      <c r="H27" s="20"/>
      <c r="I27" s="36"/>
      <c r="J27" s="300"/>
      <c r="K27" s="302"/>
      <c r="L27" s="302"/>
      <c r="M27" s="302"/>
      <c r="N27" s="242">
        <f t="shared" si="4"/>
        <v>0</v>
      </c>
      <c r="O27" s="12"/>
      <c r="P27" s="12"/>
      <c r="Q27" s="12"/>
      <c r="R27" s="12"/>
      <c r="S27" s="534">
        <v>0</v>
      </c>
      <c r="T27" s="518"/>
      <c r="U27" s="530" t="s">
        <v>1200</v>
      </c>
      <c r="V27" s="242" t="str">
        <f t="shared" ref="V27:V34" si="6">IFERROR(IF(D27="tonnes/yr", $S27*$E27/($N$20*3.6), $T27*$E27*3.6/($N$20*3.6)), "Unfilled fields to left")</f>
        <v>Unfilled fields to left</v>
      </c>
      <c r="X27" s="21"/>
    </row>
    <row r="28" spans="2:29" s="14" customFormat="1">
      <c r="B28" s="186" t="s">
        <v>1057</v>
      </c>
      <c r="C28" s="184" t="s">
        <v>1222</v>
      </c>
      <c r="D28" s="179" t="s">
        <v>459</v>
      </c>
      <c r="E28" s="35"/>
      <c r="F28" s="34"/>
      <c r="G28" s="21"/>
      <c r="H28" s="20"/>
      <c r="I28" s="36"/>
      <c r="J28" s="300"/>
      <c r="K28" s="302"/>
      <c r="L28" s="302"/>
      <c r="M28" s="302"/>
      <c r="N28" s="242">
        <f t="shared" si="4"/>
        <v>0</v>
      </c>
      <c r="O28" s="12"/>
      <c r="P28" s="12"/>
      <c r="Q28" s="12"/>
      <c r="R28" s="12"/>
      <c r="S28" s="534">
        <v>1000</v>
      </c>
      <c r="T28" s="518"/>
      <c r="U28" s="530" t="s">
        <v>1118</v>
      </c>
      <c r="V28" s="242" t="str">
        <f t="shared" si="6"/>
        <v>Unfilled fields to left</v>
      </c>
      <c r="X28" s="21"/>
    </row>
    <row r="29" spans="2:29" s="14" customFormat="1">
      <c r="B29" s="186" t="s">
        <v>1070</v>
      </c>
      <c r="C29" s="184" t="s">
        <v>1202</v>
      </c>
      <c r="D29" s="179" t="s">
        <v>459</v>
      </c>
      <c r="E29" s="35">
        <f>E27*$E$39</f>
        <v>0</v>
      </c>
      <c r="F29" s="34"/>
      <c r="G29" s="21"/>
      <c r="H29" s="20"/>
      <c r="I29" s="36"/>
      <c r="J29" s="300"/>
      <c r="K29" s="302"/>
      <c r="L29" s="302"/>
      <c r="M29" s="302"/>
      <c r="N29" s="242">
        <f t="shared" si="4"/>
        <v>0</v>
      </c>
      <c r="O29" s="12"/>
      <c r="P29" s="12"/>
      <c r="Q29" s="12"/>
      <c r="R29" s="12"/>
      <c r="S29" s="534">
        <v>-1000</v>
      </c>
      <c r="T29" s="518"/>
      <c r="U29" s="530" t="s">
        <v>1203</v>
      </c>
      <c r="V29" s="242" t="str">
        <f t="shared" si="6"/>
        <v>Unfilled fields to left</v>
      </c>
      <c r="X29" s="21"/>
    </row>
    <row r="30" spans="2:29" s="14" customFormat="1">
      <c r="B30" s="186" t="s">
        <v>1070</v>
      </c>
      <c r="C30" s="184" t="s">
        <v>1111</v>
      </c>
      <c r="D30" s="179" t="s">
        <v>459</v>
      </c>
      <c r="E30" s="35">
        <f>E28*$E$39</f>
        <v>0</v>
      </c>
      <c r="F30" s="34"/>
      <c r="G30" s="21"/>
      <c r="H30" s="20"/>
      <c r="I30" s="36"/>
      <c r="J30" s="300"/>
      <c r="K30" s="302"/>
      <c r="L30" s="302"/>
      <c r="M30" s="302"/>
      <c r="N30" s="242">
        <f t="shared" si="4"/>
        <v>0</v>
      </c>
      <c r="O30" s="12"/>
      <c r="P30" s="12"/>
      <c r="Q30" s="12"/>
      <c r="R30" s="12"/>
      <c r="S30" s="534">
        <v>-1000</v>
      </c>
      <c r="T30" s="518"/>
      <c r="U30" s="530" t="s">
        <v>1204</v>
      </c>
      <c r="V30" s="242" t="str">
        <f t="shared" si="6"/>
        <v>Unfilled fields to left</v>
      </c>
      <c r="X30" s="21"/>
    </row>
    <row r="31" spans="2:29" s="14" customFormat="1">
      <c r="B31" s="186" t="s">
        <v>1113</v>
      </c>
      <c r="C31" s="184" t="s">
        <v>1073</v>
      </c>
      <c r="D31" s="179" t="s">
        <v>459</v>
      </c>
      <c r="E31" s="35"/>
      <c r="F31" s="34"/>
      <c r="G31" s="21"/>
      <c r="H31" s="20"/>
      <c r="I31" s="36"/>
      <c r="J31" s="300"/>
      <c r="K31" s="302"/>
      <c r="L31" s="302"/>
      <c r="M31" s="302"/>
      <c r="N31" s="242">
        <f t="shared" si="4"/>
        <v>0</v>
      </c>
      <c r="O31" s="12"/>
      <c r="P31" s="12"/>
      <c r="Q31" s="12"/>
      <c r="R31" s="12"/>
      <c r="S31" s="534">
        <v>28000</v>
      </c>
      <c r="T31" s="518"/>
      <c r="U31" s="530" t="s">
        <v>1059</v>
      </c>
      <c r="V31" s="242" t="str">
        <f t="shared" si="6"/>
        <v>Unfilled fields to left</v>
      </c>
      <c r="X31" s="21"/>
    </row>
    <row r="32" spans="2:29" s="14" customFormat="1">
      <c r="B32" s="186" t="s">
        <v>1113</v>
      </c>
      <c r="C32" s="184" t="s">
        <v>1075</v>
      </c>
      <c r="D32" s="179" t="s">
        <v>459</v>
      </c>
      <c r="E32" s="35"/>
      <c r="F32" s="21"/>
      <c r="G32" s="21"/>
      <c r="H32" s="20"/>
      <c r="I32" s="36"/>
      <c r="J32" s="300"/>
      <c r="K32" s="302"/>
      <c r="L32" s="302"/>
      <c r="M32" s="302"/>
      <c r="N32" s="242">
        <f t="shared" si="4"/>
        <v>0</v>
      </c>
      <c r="O32" s="12"/>
      <c r="P32" s="12"/>
      <c r="Q32" s="12"/>
      <c r="R32" s="12"/>
      <c r="S32" s="534">
        <v>265000</v>
      </c>
      <c r="T32" s="518"/>
      <c r="U32" s="530" t="s">
        <v>1059</v>
      </c>
      <c r="V32" s="242" t="str">
        <f t="shared" si="6"/>
        <v>Unfilled fields to left</v>
      </c>
      <c r="X32" s="21"/>
    </row>
    <row r="33" spans="2:25" s="14" customFormat="1">
      <c r="B33" s="16"/>
      <c r="C33" s="15"/>
      <c r="D33" s="179"/>
      <c r="E33" s="35"/>
      <c r="F33" s="21"/>
      <c r="G33" s="21"/>
      <c r="H33" s="20"/>
      <c r="I33" s="36"/>
      <c r="J33" s="300"/>
      <c r="K33" s="302"/>
      <c r="L33" s="302"/>
      <c r="M33" s="302"/>
      <c r="N33" s="242">
        <f t="shared" si="4"/>
        <v>0</v>
      </c>
      <c r="O33" s="12"/>
      <c r="P33" s="12"/>
      <c r="Q33" s="12"/>
      <c r="R33" s="12"/>
      <c r="S33" s="528"/>
      <c r="T33" s="477"/>
      <c r="U33" s="531"/>
      <c r="V33" s="242" t="str">
        <f t="shared" si="6"/>
        <v>Unfilled fields to left</v>
      </c>
      <c r="X33" s="21"/>
    </row>
    <row r="34" spans="2:25" s="14" customFormat="1">
      <c r="B34" s="16"/>
      <c r="C34" s="15"/>
      <c r="D34" s="179"/>
      <c r="E34" s="35"/>
      <c r="F34" s="21"/>
      <c r="G34" s="21"/>
      <c r="H34" s="20"/>
      <c r="I34" s="36"/>
      <c r="J34" s="300"/>
      <c r="K34" s="302"/>
      <c r="L34" s="302"/>
      <c r="M34" s="302"/>
      <c r="N34" s="242">
        <f t="shared" si="4"/>
        <v>0</v>
      </c>
      <c r="O34" s="12"/>
      <c r="P34" s="12"/>
      <c r="Q34" s="12"/>
      <c r="R34" s="12"/>
      <c r="S34" s="528"/>
      <c r="T34" s="477"/>
      <c r="U34" s="531"/>
      <c r="V34" s="242" t="str">
        <f t="shared" si="6"/>
        <v>Unfilled fields to left</v>
      </c>
      <c r="X34" s="21"/>
    </row>
    <row r="35" spans="2:25">
      <c r="C35" s="17"/>
      <c r="D35" s="17"/>
      <c r="E35" s="140"/>
      <c r="F35" s="17"/>
      <c r="H35" s="18"/>
      <c r="I35" s="18"/>
      <c r="J35" s="40"/>
      <c r="K35" s="40"/>
      <c r="L35" s="40"/>
      <c r="M35" s="40"/>
      <c r="N35" s="40"/>
      <c r="O35" s="12"/>
      <c r="S35" s="40"/>
      <c r="T35" s="107"/>
      <c r="U35" s="40"/>
      <c r="V35" s="40"/>
      <c r="Y35" s="12"/>
    </row>
    <row r="36" spans="2:25">
      <c r="D36" s="17"/>
      <c r="E36" s="140"/>
      <c r="J36" s="39"/>
      <c r="K36" s="39"/>
      <c r="L36" s="107"/>
      <c r="M36" s="107"/>
      <c r="N36" s="107"/>
      <c r="O36" s="107"/>
      <c r="S36" s="39"/>
      <c r="T36" s="107"/>
      <c r="U36" s="38" t="s">
        <v>1114</v>
      </c>
      <c r="V36" s="153">
        <f>SUM(V7:V35)</f>
        <v>0</v>
      </c>
      <c r="Y36" s="12"/>
    </row>
    <row r="37" spans="2:25">
      <c r="B37" s="145" t="s">
        <v>132</v>
      </c>
      <c r="C37" s="159"/>
      <c r="D37" s="159"/>
      <c r="E37" s="499"/>
      <c r="I37" s="12"/>
      <c r="J37" s="107"/>
      <c r="K37" s="107"/>
      <c r="L37" s="107"/>
      <c r="M37" s="107"/>
      <c r="N37" s="107"/>
      <c r="O37" s="107"/>
      <c r="S37" s="107"/>
      <c r="T37" s="107"/>
      <c r="U37" s="107"/>
      <c r="Y37" s="12"/>
    </row>
    <row r="38" spans="2:25">
      <c r="B38" s="16" t="s">
        <v>1086</v>
      </c>
      <c r="C38" s="15" t="s">
        <v>1087</v>
      </c>
      <c r="D38" s="15" t="s">
        <v>1088</v>
      </c>
      <c r="E38" s="501"/>
      <c r="G38" s="19"/>
      <c r="H38" s="12"/>
      <c r="I38" s="12"/>
      <c r="J38" s="107"/>
      <c r="K38" s="107"/>
      <c r="L38" s="107"/>
      <c r="M38" s="107"/>
      <c r="N38" s="107"/>
      <c r="O38" s="107"/>
      <c r="S38" s="107"/>
      <c r="T38" s="107"/>
      <c r="U38" s="107"/>
      <c r="V38" s="12"/>
      <c r="X38" s="25"/>
      <c r="Y38" s="12"/>
    </row>
    <row r="39" spans="2:25">
      <c r="B39" s="16" t="s">
        <v>1091</v>
      </c>
      <c r="C39" s="15" t="s">
        <v>1136</v>
      </c>
      <c r="D39" s="15" t="s">
        <v>785</v>
      </c>
      <c r="E39" s="511"/>
      <c r="H39" s="12"/>
      <c r="I39" s="12"/>
      <c r="J39" s="107"/>
      <c r="K39" s="107"/>
      <c r="L39" s="107"/>
      <c r="M39" s="107"/>
      <c r="N39" s="107"/>
      <c r="O39" s="107"/>
      <c r="S39" s="107"/>
      <c r="T39" s="107"/>
      <c r="U39" s="107"/>
      <c r="V39" s="12"/>
      <c r="X39" s="25"/>
      <c r="Y39" s="12"/>
    </row>
    <row r="40" spans="2:25">
      <c r="B40" s="16"/>
      <c r="C40" s="15"/>
      <c r="D40" s="15"/>
      <c r="E40" s="512"/>
      <c r="J40" s="39"/>
      <c r="K40" s="39"/>
      <c r="L40" s="107"/>
      <c r="M40" s="107"/>
      <c r="N40" s="107"/>
      <c r="O40" s="107"/>
      <c r="S40" s="39"/>
      <c r="T40" s="39"/>
      <c r="U40" s="39"/>
      <c r="X40" s="25"/>
    </row>
    <row r="41" spans="2:25">
      <c r="B41" s="16"/>
      <c r="C41" s="15"/>
      <c r="D41" s="15"/>
      <c r="E41" s="507"/>
      <c r="J41" s="39"/>
      <c r="K41" s="39"/>
      <c r="L41" s="107"/>
      <c r="M41" s="107"/>
      <c r="N41" s="107"/>
      <c r="O41" s="107"/>
      <c r="S41" s="39"/>
      <c r="T41" s="39"/>
      <c r="U41" s="39"/>
      <c r="X41" s="25"/>
    </row>
    <row r="42" spans="2:25">
      <c r="E42" s="107"/>
      <c r="J42" s="39"/>
      <c r="K42" s="39"/>
      <c r="L42" s="107"/>
      <c r="M42" s="107"/>
      <c r="N42" s="107"/>
      <c r="O42" s="107"/>
      <c r="S42" s="39"/>
      <c r="T42" s="39"/>
      <c r="U42" s="39"/>
    </row>
    <row r="43" spans="2:25">
      <c r="E43" s="107"/>
      <c r="J43" s="39"/>
      <c r="K43" s="39"/>
      <c r="L43" s="107"/>
      <c r="M43" s="107"/>
      <c r="N43" s="107"/>
      <c r="O43" s="107"/>
      <c r="S43" s="39"/>
      <c r="T43" s="39"/>
      <c r="U43" s="39"/>
    </row>
    <row r="44" spans="2:25">
      <c r="E44" s="107"/>
      <c r="J44" s="39"/>
      <c r="K44" s="39"/>
      <c r="L44" s="107"/>
      <c r="M44" s="107"/>
      <c r="N44" s="107"/>
      <c r="O44" s="107"/>
      <c r="S44" s="39"/>
      <c r="T44" s="39"/>
      <c r="U44" s="39"/>
    </row>
    <row r="45" spans="2:25">
      <c r="E45" s="107"/>
      <c r="J45" s="39"/>
      <c r="K45" s="39"/>
      <c r="L45" s="107"/>
      <c r="M45" s="107"/>
      <c r="N45" s="107"/>
      <c r="O45" s="107"/>
      <c r="S45" s="39"/>
      <c r="T45" s="39"/>
      <c r="U45" s="39"/>
    </row>
    <row r="46" spans="2:25">
      <c r="E46" s="107"/>
      <c r="J46" s="39"/>
      <c r="K46" s="39"/>
      <c r="L46" s="39"/>
      <c r="M46" s="39"/>
      <c r="O46" s="12"/>
      <c r="S46" s="39"/>
      <c r="T46" s="39"/>
      <c r="U46" s="39"/>
    </row>
    <row r="47" spans="2:25">
      <c r="E47" s="107"/>
      <c r="J47" s="39"/>
      <c r="K47" s="39"/>
      <c r="L47" s="39"/>
      <c r="M47" s="39"/>
      <c r="O47" s="12"/>
      <c r="S47" s="39"/>
      <c r="T47" s="39"/>
      <c r="U47" s="39"/>
    </row>
    <row r="48" spans="2:25">
      <c r="E48" s="107"/>
      <c r="J48" s="39"/>
      <c r="K48" s="39"/>
      <c r="L48" s="107"/>
      <c r="M48" s="107"/>
      <c r="N48" s="107"/>
      <c r="O48" s="12"/>
      <c r="S48" s="39"/>
      <c r="T48" s="39"/>
      <c r="U48" s="39"/>
    </row>
    <row r="49" spans="5:21">
      <c r="E49" s="107"/>
      <c r="J49" s="39"/>
      <c r="K49" s="39"/>
      <c r="L49" s="107"/>
      <c r="M49" s="107"/>
      <c r="N49" s="107"/>
      <c r="O49" s="12"/>
      <c r="S49" s="39"/>
      <c r="T49" s="39"/>
      <c r="U49" s="39"/>
    </row>
    <row r="50" spans="5:21">
      <c r="E50" s="107"/>
      <c r="J50" s="39"/>
      <c r="K50" s="39"/>
      <c r="L50" s="107"/>
      <c r="M50" s="107"/>
      <c r="N50" s="107"/>
      <c r="O50" s="12"/>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L122" s="39"/>
      <c r="M122" s="39"/>
      <c r="S122" s="39"/>
      <c r="T122" s="39"/>
      <c r="U122" s="39"/>
    </row>
    <row r="123" spans="5:21">
      <c r="E123" s="107"/>
      <c r="J123" s="39"/>
      <c r="K123" s="39"/>
      <c r="L123" s="39"/>
      <c r="M123" s="39"/>
      <c r="S123" s="39"/>
      <c r="T123" s="39"/>
      <c r="U123" s="39"/>
    </row>
    <row r="124" spans="5:21">
      <c r="E124" s="107"/>
      <c r="J124" s="39"/>
      <c r="K124" s="39"/>
      <c r="L124" s="39"/>
      <c r="M124" s="39"/>
      <c r="S124" s="39"/>
      <c r="T124" s="39"/>
      <c r="U124" s="39"/>
    </row>
    <row r="125" spans="5:21">
      <c r="E125" s="107"/>
      <c r="L125" s="39"/>
      <c r="M125" s="39"/>
      <c r="S125" s="39"/>
      <c r="T125" s="39"/>
      <c r="U125" s="39"/>
    </row>
    <row r="126" spans="5:21">
      <c r="E126" s="107"/>
      <c r="L126" s="39"/>
      <c r="M126" s="39"/>
      <c r="S126" s="39"/>
      <c r="T126" s="39"/>
      <c r="U126" s="39"/>
    </row>
    <row r="127" spans="5:21">
      <c r="E127" s="107"/>
      <c r="L127" s="39"/>
      <c r="M127" s="39"/>
      <c r="S127" s="39"/>
      <c r="T127" s="39"/>
      <c r="U127" s="39"/>
    </row>
    <row r="128" spans="5:21">
      <c r="E128" s="107"/>
      <c r="L128" s="39"/>
      <c r="M128" s="39"/>
      <c r="S128" s="39"/>
      <c r="T128" s="39"/>
      <c r="U128" s="39"/>
    </row>
    <row r="129" spans="5:21">
      <c r="E129" s="107"/>
      <c r="L129" s="39"/>
      <c r="M129" s="39"/>
      <c r="S129" s="39"/>
      <c r="T129" s="39"/>
      <c r="U129" s="39"/>
    </row>
    <row r="130" spans="5:21">
      <c r="E130" s="107"/>
      <c r="L130" s="39"/>
      <c r="M130" s="39"/>
      <c r="S130" s="39"/>
      <c r="T130" s="39"/>
      <c r="U130" s="39"/>
    </row>
    <row r="131" spans="5:21">
      <c r="E131" s="107"/>
      <c r="L131" s="39"/>
      <c r="M131" s="39"/>
      <c r="S131" s="39"/>
      <c r="T131" s="39"/>
      <c r="U131" s="39"/>
    </row>
    <row r="132" spans="5:21">
      <c r="E132" s="107"/>
      <c r="L132" s="39"/>
      <c r="M132" s="39"/>
      <c r="S132" s="39"/>
      <c r="T132" s="39"/>
      <c r="U132" s="39"/>
    </row>
    <row r="133" spans="5:21">
      <c r="E133" s="107"/>
      <c r="L133" s="39"/>
      <c r="M133" s="39"/>
      <c r="S133" s="39"/>
      <c r="T133" s="39"/>
      <c r="U133" s="39"/>
    </row>
    <row r="134" spans="5:21">
      <c r="E134" s="107"/>
      <c r="L134" s="39"/>
      <c r="M134" s="39"/>
      <c r="S134" s="39"/>
      <c r="T134" s="39"/>
      <c r="U134" s="39"/>
    </row>
    <row r="135" spans="5:21">
      <c r="E135" s="107"/>
      <c r="L135" s="39"/>
      <c r="M135" s="39"/>
      <c r="S135" s="39"/>
      <c r="T135" s="39"/>
      <c r="U135" s="39"/>
    </row>
    <row r="136" spans="5:21">
      <c r="E136" s="107"/>
      <c r="L136" s="39"/>
      <c r="M136" s="39"/>
      <c r="S136" s="39"/>
      <c r="T136" s="39"/>
      <c r="U136" s="39"/>
    </row>
    <row r="137" spans="5:21">
      <c r="E137" s="107"/>
      <c r="L137" s="39"/>
      <c r="M137" s="39"/>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E148" s="107"/>
      <c r="S148" s="39"/>
      <c r="T148" s="39"/>
      <c r="U148" s="39"/>
    </row>
    <row r="149" spans="5:21">
      <c r="E149" s="107"/>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row r="190" spans="19:21">
      <c r="S190" s="39"/>
      <c r="T190" s="39"/>
      <c r="U190" s="39"/>
    </row>
    <row r="191" spans="19:21">
      <c r="S191" s="39"/>
      <c r="T191" s="39"/>
      <c r="U191"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H6" activePane="bottomRight" state="frozen"/>
      <selection pane="bottomRight" activeCell="D2" sqref="D2"/>
      <pageMargins left="0" right="0" top="0" bottom="0" header="0" footer="0"/>
      <pageSetup paperSize="9" orientation="portrait" r:id="rId4"/>
    </customSheetView>
    <customSheetView guid="{E6EFD927-84B2-4D06-BB59-59D9DF522DA2}" showGridLines="0">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H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4" xr:uid="{8FC3E254-5DBB-48E2-9841-DA2315E7D5EC}">
      <formula1>Flow_units</formula1>
    </dataValidation>
    <dataValidation type="custom" allowBlank="1" showInputMessage="1" showErrorMessage="1" error="Please do not change this formula" prompt="Please do not change this formula" sqref="W4 V6:V1048576 V1:V4 S5:V5" xr:uid="{08E45ECC-1C87-40A1-AD14-C9801C2B36D9}">
      <formula1>"Please do not change this formula"</formula1>
    </dataValidation>
    <dataValidation type="custom" allowBlank="1" showInputMessage="1" showErrorMessage="1" error="Please do not change this formula" sqref="R6:R19 R23:R1048576 N1:N1048576 O1:R5 O6:Q1048576" xr:uid="{50234CD9-7EF0-4F14-9F9E-0CB3E7B0F757}">
      <formula1>"Please do not change this formula"</formula1>
    </dataValidation>
    <dataValidation type="custom" allowBlank="1" showInputMessage="1" showErrorMessage="1" error="Please do not change" sqref="R20:R22" xr:uid="{309D6BC3-5CD2-4AB0-9874-66472979840C}">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28 S31:T35" xr:uid="{665CE543-EE65-4E42-9C9E-44DA8512DA86}">
      <formula1>0</formula1>
    </dataValidation>
  </dataValidations>
  <hyperlinks>
    <hyperlink ref="I2:J2" location="'Biomass Further Transport'!A1" display="Go to the next step of this pathway" xr:uid="{D8547142-5516-4860-B494-C675AA33DF00}"/>
    <hyperlink ref="I2:K2" location="Biomass_Further_Transport!A1" display="Go to the next step of this pathway" xr:uid="{C7A98D39-F172-4FF6-A445-E2EC8DEC597E}"/>
  </hyperlinks>
  <pageMargins left="0" right="0" top="0" bottom="0" header="0" footer="0"/>
  <pageSetup paperSize="9" orientation="portrait" r:id="rId10"/>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2E00-000001000000}">
            <xm:f>AND(Path&lt;&gt;Units!$B$135,Path&lt;&gt;Units!$B$136,Master_Switch="On")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31" id="{00000000-000E-0000-2500-00001E000000}">
            <xm:f>AND(GHG_BIOMASS_GASIFICATION!$D$5="Default",Master_Switch="On")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07FC0-8092-461D-9296-29926AAB4FA0}">
  <sheetPr codeName="Sheet32">
    <tabColor rgb="FFCCFF66"/>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55"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20.453125" customWidth="1"/>
    <col min="16" max="16" width="8" customWidth="1"/>
    <col min="17" max="17" width="18.81640625" style="12" customWidth="1"/>
    <col min="18" max="18" width="17.54296875" style="12" customWidth="1"/>
    <col min="19" max="20" width="20.7265625" style="13" customWidth="1"/>
    <col min="21" max="21" width="22.7265625" style="13" customWidth="1"/>
    <col min="22" max="22" width="20.26953125" style="39" customWidth="1"/>
    <col min="23" max="23" width="7.1796875" style="12" customWidth="1"/>
    <col min="24" max="24" width="26" style="12" customWidth="1"/>
    <col min="26" max="16384" width="7.1796875" style="12"/>
  </cols>
  <sheetData>
    <row r="1" spans="1:29" ht="31.9" customHeight="1">
      <c r="A1" s="80" t="str">
        <f>IF(AND(Path&lt;&gt;Units!$B$135,Path&lt;&gt;Units!$B$136,Master_Switch="On"),"User should not fill in this sheet, but switch to other non-blank GHG worksheets","")</f>
        <v>User should not fill in this sheet, but switch to other non-blank GHG worksheets</v>
      </c>
      <c r="E1" s="256"/>
    </row>
    <row r="2" spans="1:29" ht="20.5" customHeight="1">
      <c r="B2" s="80" t="str">
        <f>IF(AND(GHG_BIOMASS_GASIFICATION!$D$5="Default",Master_Switch="On"),"Default data selected for this step, move to the next step of the pathway","")</f>
        <v/>
      </c>
      <c r="E2" s="256"/>
      <c r="I2" s="729" t="s">
        <v>1093</v>
      </c>
      <c r="J2" s="731"/>
      <c r="K2" s="732"/>
      <c r="L2" s="39"/>
      <c r="M2" s="39"/>
    </row>
    <row r="3" spans="1:29" ht="15" customHeight="1">
      <c r="E3" s="256"/>
    </row>
    <row r="4" spans="1:29" ht="15.65" customHeight="1" thickBot="1">
      <c r="B4" s="3"/>
      <c r="C4" s="3"/>
      <c r="D4" s="3"/>
      <c r="E4" s="455"/>
      <c r="F4" s="3"/>
      <c r="G4" s="3"/>
      <c r="H4" s="1"/>
      <c r="I4" s="1"/>
      <c r="J4" s="1"/>
      <c r="K4" s="1"/>
      <c r="L4" s="1"/>
      <c r="M4" s="1"/>
      <c r="N4" s="37"/>
      <c r="O4" s="1"/>
      <c r="P4" s="1"/>
      <c r="Q4" s="3"/>
      <c r="R4" s="3"/>
      <c r="S4" s="1"/>
      <c r="T4" s="1"/>
      <c r="U4" s="1"/>
      <c r="V4" s="37"/>
      <c r="W4" s="37"/>
      <c r="X4" s="3"/>
    </row>
    <row r="5" spans="1:29"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9" ht="15" thickTop="1">
      <c r="E6" s="457"/>
      <c r="Q6"/>
      <c r="R6"/>
      <c r="S6"/>
      <c r="T6"/>
      <c r="U6"/>
      <c r="V6"/>
    </row>
    <row r="7" spans="1:29">
      <c r="B7" s="145" t="s">
        <v>1097</v>
      </c>
      <c r="C7" s="145"/>
      <c r="D7" s="145"/>
      <c r="E7" s="324"/>
      <c r="F7" s="145"/>
      <c r="G7" s="145"/>
      <c r="H7" s="145"/>
      <c r="I7" s="145"/>
      <c r="J7" s="145"/>
      <c r="K7" s="145"/>
      <c r="L7" s="145"/>
      <c r="M7" s="145"/>
      <c r="N7" s="301"/>
      <c r="Q7"/>
      <c r="R7"/>
      <c r="S7"/>
      <c r="T7"/>
      <c r="U7"/>
      <c r="V7"/>
      <c r="W7" s="19"/>
      <c r="X7" s="19"/>
      <c r="Y7" s="19"/>
      <c r="Z7" s="19"/>
      <c r="AA7" s="19"/>
      <c r="AB7" s="19"/>
      <c r="AC7" s="19"/>
    </row>
    <row r="8" spans="1:29">
      <c r="B8" s="16" t="s">
        <v>1115</v>
      </c>
      <c r="C8" s="184" t="s">
        <v>1220</v>
      </c>
      <c r="D8" s="179" t="s">
        <v>459</v>
      </c>
      <c r="E8" s="35"/>
      <c r="F8" s="21"/>
      <c r="G8" s="21"/>
      <c r="H8" s="20"/>
      <c r="I8" s="20"/>
      <c r="J8" s="35"/>
      <c r="K8" s="302"/>
      <c r="L8" s="302"/>
      <c r="M8" s="302"/>
      <c r="N8" s="242">
        <f t="shared" ref="N8:N17" si="0">IF($D8="MWh/yr (LHV)",$E8,$J8*$E8*(1-$L8)/Conversion_kWh_to_MJ)</f>
        <v>0</v>
      </c>
      <c r="O8" s="12"/>
      <c r="P8" s="12"/>
      <c r="S8" s="107"/>
      <c r="T8" s="107"/>
      <c r="U8" s="107"/>
      <c r="V8" s="12"/>
      <c r="X8" s="24"/>
      <c r="Y8" s="12"/>
    </row>
    <row r="9" spans="1:29">
      <c r="B9" s="186" t="s">
        <v>1021</v>
      </c>
      <c r="C9" s="184" t="s">
        <v>1098</v>
      </c>
      <c r="D9" s="179" t="s">
        <v>479</v>
      </c>
      <c r="E9" s="35"/>
      <c r="F9" s="21"/>
      <c r="G9" s="21"/>
      <c r="H9" s="20"/>
      <c r="I9" s="36"/>
      <c r="J9" s="300"/>
      <c r="K9" s="302"/>
      <c r="L9" s="302"/>
      <c r="M9" s="302"/>
      <c r="N9" s="242">
        <f t="shared" si="0"/>
        <v>0</v>
      </c>
      <c r="O9" s="12"/>
      <c r="P9" s="12"/>
      <c r="S9" s="35" t="str">
        <f>IF(B9="", "", IF(D9="MWh/yr (LHV)", "Use column to right", "Enter data here"))</f>
        <v>Use column to right</v>
      </c>
      <c r="T9" s="35" t="e">
        <f>INDEX(Proj_grid_intensity_kWh,MATCH(Operations_year,Proj_grid_year,0))/Conversion_kWh_to_MJ</f>
        <v>#N/A</v>
      </c>
      <c r="U9" s="35" t="s">
        <v>1064</v>
      </c>
      <c r="V9" s="242" t="str">
        <f t="shared" ref="V9:V17" si="1">IFERROR(IF(D9="tonnes/yr", $S9*$E9/($N$20*3.6), $T9*$E9*3.6/($N$20*3.6)), "Unfilled fields to left")</f>
        <v>Unfilled fields to left</v>
      </c>
      <c r="X9" s="25"/>
      <c r="Y9" s="12"/>
    </row>
    <row r="10" spans="1:29">
      <c r="B10" s="186" t="s">
        <v>1021</v>
      </c>
      <c r="C10" s="184"/>
      <c r="D10" s="179"/>
      <c r="E10" s="35"/>
      <c r="F10" s="21"/>
      <c r="G10" s="21"/>
      <c r="H10" s="20"/>
      <c r="I10" s="36"/>
      <c r="J10" s="300"/>
      <c r="K10" s="302"/>
      <c r="L10" s="302"/>
      <c r="M10" s="302"/>
      <c r="N10" s="242">
        <f t="shared" si="0"/>
        <v>0</v>
      </c>
      <c r="O10" s="12"/>
      <c r="P10" s="12"/>
      <c r="S10" s="35" t="str">
        <f t="shared" ref="S10" si="2">IF(B10="", "", IF(D10="MWh/yr (LHV)", "Use column to right", "Enter data here"))</f>
        <v>Enter data here</v>
      </c>
      <c r="T10" s="35" t="str">
        <f t="shared" ref="T10" si="3">IF(B10="", "", IF(D10="MWh/yr (LHV)", "Enter data here", "Use column to left"))</f>
        <v>Use column to left</v>
      </c>
      <c r="U10" s="35" t="s">
        <v>1100</v>
      </c>
      <c r="V10" s="242" t="str">
        <f t="shared" si="1"/>
        <v>Unfilled fields to left</v>
      </c>
      <c r="X10" s="25"/>
      <c r="Y10" s="12"/>
    </row>
    <row r="11" spans="1:29">
      <c r="B11" s="186" t="s">
        <v>1042</v>
      </c>
      <c r="C11" s="184" t="s">
        <v>1043</v>
      </c>
      <c r="D11" s="179" t="s">
        <v>459</v>
      </c>
      <c r="E11" s="35"/>
      <c r="F11" s="21"/>
      <c r="G11" s="21"/>
      <c r="H11" s="20"/>
      <c r="I11" s="36"/>
      <c r="J11" s="300"/>
      <c r="K11" s="302"/>
      <c r="L11" s="302"/>
      <c r="M11" s="302"/>
      <c r="N11" s="242">
        <f t="shared" si="0"/>
        <v>0</v>
      </c>
      <c r="O11" s="12"/>
      <c r="P11" s="12"/>
      <c r="S11" s="35" t="str">
        <f t="shared" ref="S11:S17" si="4">IF(B11="", "", IF(D11="MWh/yr (LHV)", "Use column to right", "Enter data here"))</f>
        <v>Enter data here</v>
      </c>
      <c r="T11" s="35" t="str">
        <f t="shared" ref="T11:T17" si="5">IF(B11="", "", IF(D11="MWh/yr (LHV)", "Enter data here", "Use column to left"))</f>
        <v>Use column to left</v>
      </c>
      <c r="U11" s="35" t="s">
        <v>1100</v>
      </c>
      <c r="V11" s="242" t="str">
        <f t="shared" si="1"/>
        <v>Unfilled fields to left</v>
      </c>
      <c r="X11" s="25"/>
      <c r="Y11" s="12"/>
    </row>
    <row r="12" spans="1:29">
      <c r="B12" s="186" t="s">
        <v>1042</v>
      </c>
      <c r="C12" s="184" t="s">
        <v>1045</v>
      </c>
      <c r="D12" s="179" t="s">
        <v>459</v>
      </c>
      <c r="E12" s="35"/>
      <c r="F12" s="21"/>
      <c r="G12" s="21"/>
      <c r="H12" s="20"/>
      <c r="I12" s="36"/>
      <c r="J12" s="300"/>
      <c r="K12" s="302"/>
      <c r="L12" s="302"/>
      <c r="M12" s="302"/>
      <c r="N12" s="242">
        <f t="shared" si="0"/>
        <v>0</v>
      </c>
      <c r="O12" s="12"/>
      <c r="P12" s="12"/>
      <c r="S12" s="35" t="str">
        <f t="shared" si="4"/>
        <v>Enter data here</v>
      </c>
      <c r="T12" s="35" t="str">
        <f t="shared" si="5"/>
        <v>Use column to left</v>
      </c>
      <c r="U12" s="35" t="s">
        <v>1100</v>
      </c>
      <c r="V12" s="242" t="str">
        <f t="shared" si="1"/>
        <v>Unfilled fields to left</v>
      </c>
      <c r="X12" s="25"/>
      <c r="Y12" s="12"/>
    </row>
    <row r="13" spans="1:29">
      <c r="B13" s="186" t="s">
        <v>1051</v>
      </c>
      <c r="C13" s="184" t="s">
        <v>1010</v>
      </c>
      <c r="D13" s="179" t="s">
        <v>459</v>
      </c>
      <c r="E13" s="35"/>
      <c r="F13" s="21"/>
      <c r="G13" s="21"/>
      <c r="H13" s="20"/>
      <c r="I13" s="36"/>
      <c r="J13" s="300"/>
      <c r="K13" s="302"/>
      <c r="L13" s="302"/>
      <c r="M13" s="302"/>
      <c r="N13" s="242">
        <f t="shared" si="0"/>
        <v>0</v>
      </c>
      <c r="O13" s="12"/>
      <c r="P13" s="12"/>
      <c r="S13" s="35" t="str">
        <f t="shared" si="4"/>
        <v>Enter data here</v>
      </c>
      <c r="T13" s="35" t="str">
        <f t="shared" si="5"/>
        <v>Use column to left</v>
      </c>
      <c r="U13" s="35" t="s">
        <v>1100</v>
      </c>
      <c r="V13" s="242" t="str">
        <f t="shared" si="1"/>
        <v>Unfilled fields to left</v>
      </c>
      <c r="X13" s="25"/>
      <c r="Y13" s="12"/>
    </row>
    <row r="14" spans="1:29">
      <c r="B14" s="186" t="s">
        <v>1051</v>
      </c>
      <c r="C14" s="184" t="s">
        <v>1101</v>
      </c>
      <c r="D14" s="179" t="s">
        <v>459</v>
      </c>
      <c r="E14" s="35"/>
      <c r="F14" s="21"/>
      <c r="G14" s="21"/>
      <c r="H14" s="20"/>
      <c r="I14" s="36"/>
      <c r="J14" s="300"/>
      <c r="K14" s="302"/>
      <c r="L14" s="302"/>
      <c r="M14" s="302"/>
      <c r="N14" s="242">
        <f t="shared" si="0"/>
        <v>0</v>
      </c>
      <c r="O14" s="12"/>
      <c r="P14" s="12"/>
      <c r="S14" s="35" t="str">
        <f t="shared" si="4"/>
        <v>Enter data here</v>
      </c>
      <c r="T14" s="35" t="str">
        <f t="shared" si="5"/>
        <v>Use column to left</v>
      </c>
      <c r="U14" s="35" t="s">
        <v>1100</v>
      </c>
      <c r="V14" s="242" t="str">
        <f t="shared" si="1"/>
        <v>Unfilled fields to left</v>
      </c>
      <c r="X14" s="25"/>
      <c r="Y14" s="12"/>
    </row>
    <row r="15" spans="1:29">
      <c r="B15" s="186" t="s">
        <v>1177</v>
      </c>
      <c r="C15" s="184" t="s">
        <v>1055</v>
      </c>
      <c r="D15" s="179" t="s">
        <v>459</v>
      </c>
      <c r="E15" s="35"/>
      <c r="F15" s="21"/>
      <c r="G15" s="21"/>
      <c r="H15" s="20"/>
      <c r="I15" s="36"/>
      <c r="J15" s="300"/>
      <c r="K15" s="302"/>
      <c r="L15" s="302"/>
      <c r="M15" s="302"/>
      <c r="N15" s="242">
        <f t="shared" si="0"/>
        <v>0</v>
      </c>
      <c r="O15" s="12"/>
      <c r="P15" s="12"/>
      <c r="S15" s="35" t="str">
        <f t="shared" si="4"/>
        <v>Enter data here</v>
      </c>
      <c r="T15" s="35" t="str">
        <f t="shared" si="5"/>
        <v>Use column to left</v>
      </c>
      <c r="U15" s="35" t="s">
        <v>1100</v>
      </c>
      <c r="V15" s="242" t="str">
        <f t="shared" si="1"/>
        <v>Unfilled fields to left</v>
      </c>
      <c r="X15" s="25"/>
      <c r="Y15" s="12"/>
    </row>
    <row r="16" spans="1:29">
      <c r="B16" s="186" t="s">
        <v>1177</v>
      </c>
      <c r="C16" s="184" t="s">
        <v>1213</v>
      </c>
      <c r="D16" s="179" t="s">
        <v>459</v>
      </c>
      <c r="E16" s="35"/>
      <c r="F16" s="21"/>
      <c r="G16" s="21"/>
      <c r="H16" s="20"/>
      <c r="I16" s="36"/>
      <c r="J16" s="300"/>
      <c r="K16" s="302"/>
      <c r="L16" s="302"/>
      <c r="M16" s="302"/>
      <c r="N16" s="242">
        <f t="shared" si="0"/>
        <v>0</v>
      </c>
      <c r="O16" s="12"/>
      <c r="P16" s="12"/>
      <c r="S16" s="35" t="str">
        <f t="shared" si="4"/>
        <v>Enter data here</v>
      </c>
      <c r="T16" s="35" t="str">
        <f t="shared" si="5"/>
        <v>Use column to left</v>
      </c>
      <c r="U16" s="35" t="s">
        <v>1100</v>
      </c>
      <c r="V16" s="242" t="str">
        <f t="shared" si="1"/>
        <v>Unfilled fields to left</v>
      </c>
      <c r="X16" s="25"/>
      <c r="Y16" s="12"/>
    </row>
    <row r="17" spans="2:29">
      <c r="B17" s="16"/>
      <c r="C17" s="15"/>
      <c r="D17" s="179"/>
      <c r="E17" s="35"/>
      <c r="F17" s="21"/>
      <c r="G17" s="21"/>
      <c r="H17" s="20"/>
      <c r="I17" s="36"/>
      <c r="J17" s="300"/>
      <c r="K17" s="302"/>
      <c r="L17" s="302"/>
      <c r="M17" s="302"/>
      <c r="N17" s="242">
        <f t="shared" si="0"/>
        <v>0</v>
      </c>
      <c r="O17" s="12"/>
      <c r="P17" s="12"/>
      <c r="S17" s="35" t="str">
        <f t="shared" si="4"/>
        <v/>
      </c>
      <c r="T17" s="35" t="str">
        <f t="shared" si="5"/>
        <v/>
      </c>
      <c r="U17" s="35"/>
      <c r="V17" s="242" t="str">
        <f t="shared" si="1"/>
        <v>Unfilled fields to left</v>
      </c>
      <c r="X17" s="25"/>
      <c r="Y17" s="12"/>
    </row>
    <row r="18" spans="2:29">
      <c r="C18" s="17"/>
      <c r="D18" s="17"/>
      <c r="E18" s="506"/>
      <c r="F18" s="26"/>
      <c r="G18" s="27"/>
      <c r="H18" s="22"/>
      <c r="I18" s="22"/>
      <c r="J18" s="41"/>
      <c r="K18" s="41"/>
      <c r="L18" s="41"/>
      <c r="M18" s="41"/>
      <c r="N18" s="41"/>
      <c r="S18" s="41"/>
      <c r="T18" s="41"/>
      <c r="U18" s="41"/>
      <c r="V18" s="41"/>
      <c r="X18" s="27"/>
      <c r="Y18" s="12"/>
    </row>
    <row r="19" spans="2:29">
      <c r="B19" s="145" t="s">
        <v>1103</v>
      </c>
      <c r="C19" s="145"/>
      <c r="D19" s="145"/>
      <c r="E19" s="301"/>
      <c r="F19" s="145"/>
      <c r="G19" s="145"/>
      <c r="H19" s="145"/>
      <c r="I19" s="145"/>
      <c r="J19" s="301"/>
      <c r="K19" s="301"/>
      <c r="L19" s="301"/>
      <c r="M19" s="301"/>
      <c r="N19" s="301"/>
      <c r="Q19"/>
      <c r="R19"/>
      <c r="S19" s="40"/>
      <c r="T19" s="40"/>
      <c r="U19" s="40"/>
      <c r="V19" s="40"/>
      <c r="W19" s="19"/>
      <c r="X19" s="19"/>
      <c r="Y19" s="19"/>
      <c r="Z19" s="19"/>
      <c r="AA19" s="19"/>
      <c r="AB19" s="19"/>
      <c r="AC19" s="19"/>
    </row>
    <row r="20" spans="2:29">
      <c r="B20" s="16" t="s">
        <v>1104</v>
      </c>
      <c r="C20" s="184" t="s">
        <v>1220</v>
      </c>
      <c r="D20" s="179" t="s">
        <v>459</v>
      </c>
      <c r="E20" s="35"/>
      <c r="F20" s="21"/>
      <c r="G20" s="21"/>
      <c r="H20" s="21"/>
      <c r="I20" s="21"/>
      <c r="J20" s="300"/>
      <c r="K20" s="306"/>
      <c r="L20" s="306"/>
      <c r="M20" s="306"/>
      <c r="N20" s="242">
        <f t="shared" ref="N20:N31" si="6">IF($D20="MWh/yr (LHV)",$E20,$J20*$E20*(1-$L20)/Conversion_kWh_to_MJ)</f>
        <v>0</v>
      </c>
      <c r="O20" s="246" t="str">
        <f>IFERROR(N20/N8,"")</f>
        <v/>
      </c>
      <c r="Q20" s="515">
        <f>IF($D20="MWh/yr (LHV)",$E20,$E20*MAX(0, $J20*(1-$L20)-2.441*$L20)/Conversion_kWh_to_MJ)</f>
        <v>0</v>
      </c>
      <c r="R20" s="245" t="str">
        <f>IFERROR(Q20/(SUM($Q$20:$Q$22)),"")</f>
        <v/>
      </c>
      <c r="S20" s="42"/>
      <c r="T20" s="42"/>
      <c r="U20" s="42"/>
      <c r="V20" s="42"/>
      <c r="X20" s="21"/>
      <c r="Y20" s="12"/>
    </row>
    <row r="21" spans="2:29" s="14" customFormat="1">
      <c r="B21" s="186" t="s">
        <v>1008</v>
      </c>
      <c r="C21" s="184" t="s">
        <v>1106</v>
      </c>
      <c r="D21" s="179" t="s">
        <v>459</v>
      </c>
      <c r="E21" s="35"/>
      <c r="F21" s="21"/>
      <c r="G21" s="21"/>
      <c r="H21" s="20"/>
      <c r="I21" s="33"/>
      <c r="J21" s="300"/>
      <c r="K21" s="302"/>
      <c r="L21" s="302"/>
      <c r="M21" s="302"/>
      <c r="N21" s="242">
        <f t="shared" si="6"/>
        <v>0</v>
      </c>
      <c r="O21" s="12"/>
      <c r="P21" s="12"/>
      <c r="Q21" s="515">
        <f>IF($D21="MWh/yr (LHV)",$E21,$E21*MAX(0, $J21*(1-$L21)-2.441*$L21)/Conversion_kWh_to_MJ)</f>
        <v>0</v>
      </c>
      <c r="R21" s="245" t="str">
        <f t="shared" ref="R21:R22" si="7">IFERROR(Q21/(SUM($Q$20:$Q$22)),"")</f>
        <v/>
      </c>
      <c r="S21" s="42"/>
      <c r="T21" s="42"/>
      <c r="U21" s="107"/>
      <c r="V21" s="12"/>
      <c r="W21" s="23"/>
      <c r="X21" s="21"/>
      <c r="Y21" s="23"/>
      <c r="Z21" s="42"/>
      <c r="AB21" s="12"/>
    </row>
    <row r="22" spans="2:29" s="14" customFormat="1">
      <c r="B22" s="186" t="s">
        <v>1008</v>
      </c>
      <c r="C22" s="184" t="s">
        <v>1107</v>
      </c>
      <c r="D22" s="179" t="s">
        <v>459</v>
      </c>
      <c r="E22" s="35"/>
      <c r="F22" s="21"/>
      <c r="G22" s="21"/>
      <c r="H22" s="20"/>
      <c r="I22" s="20"/>
      <c r="J22" s="302"/>
      <c r="K22" s="302"/>
      <c r="L22" s="302"/>
      <c r="M22" s="302"/>
      <c r="N22" s="242">
        <f t="shared" si="6"/>
        <v>0</v>
      </c>
      <c r="O22" s="12"/>
      <c r="P22" s="12"/>
      <c r="Q22" s="515">
        <f>IF($D22="MWh/yr (LHV)",$E22,$E22*MAX(0, $J22*(1-$L22)-2.441*$L22)/Conversion_kWh_to_MJ)</f>
        <v>0</v>
      </c>
      <c r="R22" s="245" t="str">
        <f t="shared" si="7"/>
        <v/>
      </c>
      <c r="S22" s="42"/>
      <c r="T22" s="42"/>
      <c r="U22" s="107"/>
      <c r="V22" s="12"/>
      <c r="W22" s="23"/>
      <c r="X22" s="21"/>
      <c r="Y22" s="23"/>
      <c r="Z22" s="42"/>
      <c r="AB22" s="12"/>
    </row>
    <row r="23" spans="2:29" s="14" customFormat="1">
      <c r="B23" s="186" t="s">
        <v>1013</v>
      </c>
      <c r="C23" s="184" t="s">
        <v>1108</v>
      </c>
      <c r="D23" s="179" t="s">
        <v>459</v>
      </c>
      <c r="E23" s="35"/>
      <c r="F23" s="21"/>
      <c r="G23" s="21"/>
      <c r="H23" s="20"/>
      <c r="I23" s="20"/>
      <c r="J23" s="302"/>
      <c r="K23" s="302"/>
      <c r="L23" s="302"/>
      <c r="M23" s="302"/>
      <c r="N23" s="242">
        <f t="shared" si="6"/>
        <v>0</v>
      </c>
      <c r="O23" s="12"/>
      <c r="P23" s="12"/>
      <c r="Q23" s="12"/>
      <c r="R23" s="12"/>
      <c r="S23" s="107"/>
      <c r="T23" s="107"/>
      <c r="U23" s="107"/>
      <c r="V23" s="12"/>
      <c r="W23" s="23"/>
      <c r="X23" s="21"/>
      <c r="Y23" s="23"/>
      <c r="Z23" s="42"/>
      <c r="AB23" s="12"/>
    </row>
    <row r="24" spans="2:29" s="14" customFormat="1">
      <c r="B24" s="186" t="s">
        <v>1013</v>
      </c>
      <c r="C24" s="184" t="s">
        <v>1015</v>
      </c>
      <c r="D24" s="179" t="s">
        <v>459</v>
      </c>
      <c r="E24" s="35"/>
      <c r="F24" s="21"/>
      <c r="G24" s="21"/>
      <c r="H24" s="20"/>
      <c r="I24" s="20"/>
      <c r="J24" s="302"/>
      <c r="K24" s="302"/>
      <c r="L24" s="302"/>
      <c r="M24" s="302"/>
      <c r="N24" s="242">
        <f t="shared" si="6"/>
        <v>0</v>
      </c>
      <c r="O24" s="12"/>
      <c r="P24" s="12"/>
      <c r="Q24" s="12"/>
      <c r="R24" s="12"/>
      <c r="S24" s="107"/>
      <c r="T24" s="107"/>
      <c r="U24" s="107"/>
      <c r="V24" s="12"/>
      <c r="W24" s="23"/>
      <c r="X24" s="21"/>
      <c r="Y24" s="23"/>
      <c r="Z24" s="42"/>
      <c r="AB24" s="12"/>
    </row>
    <row r="25" spans="2:29" s="14" customFormat="1">
      <c r="B25" s="186" t="s">
        <v>1016</v>
      </c>
      <c r="C25" s="184" t="s">
        <v>1017</v>
      </c>
      <c r="D25" s="179" t="s">
        <v>459</v>
      </c>
      <c r="E25" s="35"/>
      <c r="F25" s="21"/>
      <c r="G25" s="21"/>
      <c r="H25" s="20"/>
      <c r="I25" s="36"/>
      <c r="J25" s="300"/>
      <c r="K25" s="302"/>
      <c r="L25" s="302"/>
      <c r="M25" s="302"/>
      <c r="N25" s="242">
        <f t="shared" si="6"/>
        <v>0</v>
      </c>
      <c r="O25" s="12"/>
      <c r="P25" s="12"/>
      <c r="Q25" s="12"/>
      <c r="R25" s="12"/>
      <c r="S25" s="107"/>
      <c r="T25" s="107"/>
      <c r="U25" s="107"/>
      <c r="V25" s="12"/>
      <c r="X25" s="21"/>
    </row>
    <row r="26" spans="2:29" s="14" customFormat="1">
      <c r="B26" s="186" t="s">
        <v>1016</v>
      </c>
      <c r="C26" s="184" t="s">
        <v>1018</v>
      </c>
      <c r="D26" s="179" t="s">
        <v>459</v>
      </c>
      <c r="E26" s="35"/>
      <c r="F26" s="21"/>
      <c r="G26" s="21"/>
      <c r="H26" s="20"/>
      <c r="I26" s="36"/>
      <c r="J26" s="300"/>
      <c r="K26" s="302"/>
      <c r="L26" s="302"/>
      <c r="M26" s="302"/>
      <c r="N26" s="242">
        <f t="shared" si="6"/>
        <v>0</v>
      </c>
      <c r="O26" s="12"/>
      <c r="P26" s="12"/>
      <c r="Q26" s="12"/>
      <c r="R26" s="12"/>
      <c r="S26" s="107"/>
      <c r="T26" s="107"/>
      <c r="U26" s="107"/>
      <c r="V26" s="12"/>
      <c r="X26" s="21"/>
    </row>
    <row r="27" spans="2:29" s="14" customFormat="1">
      <c r="B27" s="186" t="s">
        <v>1057</v>
      </c>
      <c r="C27" s="184" t="s">
        <v>1182</v>
      </c>
      <c r="D27" s="179" t="s">
        <v>459</v>
      </c>
      <c r="E27" s="35"/>
      <c r="F27" s="34"/>
      <c r="G27" s="21"/>
      <c r="H27" s="20"/>
      <c r="I27" s="36"/>
      <c r="J27" s="300"/>
      <c r="K27" s="302"/>
      <c r="L27" s="302"/>
      <c r="M27" s="302"/>
      <c r="N27" s="242">
        <f t="shared" si="6"/>
        <v>0</v>
      </c>
      <c r="O27" s="12"/>
      <c r="P27" s="12"/>
      <c r="Q27" s="12"/>
      <c r="R27" s="12"/>
      <c r="S27" s="35">
        <v>1000</v>
      </c>
      <c r="T27" s="518"/>
      <c r="U27" s="35" t="s">
        <v>1118</v>
      </c>
      <c r="V27" s="242" t="str">
        <f>IFERROR(IF(D27="tonnes/yr", $S27*$E27/($N$20*3.6), $T27*$E27*3.6/($N$20*3.6)), "Unfilled fields to left")</f>
        <v>Unfilled fields to left</v>
      </c>
      <c r="X27" s="21"/>
    </row>
    <row r="28" spans="2:29" s="14" customFormat="1">
      <c r="B28" s="186" t="s">
        <v>1113</v>
      </c>
      <c r="C28" s="184" t="s">
        <v>1073</v>
      </c>
      <c r="D28" s="179" t="s">
        <v>459</v>
      </c>
      <c r="E28" s="35"/>
      <c r="F28" s="34"/>
      <c r="G28" s="21"/>
      <c r="H28" s="20"/>
      <c r="I28" s="36"/>
      <c r="J28" s="300"/>
      <c r="K28" s="302"/>
      <c r="L28" s="302"/>
      <c r="M28" s="302"/>
      <c r="N28" s="242">
        <f t="shared" si="6"/>
        <v>0</v>
      </c>
      <c r="O28" s="12"/>
      <c r="P28" s="12"/>
      <c r="Q28" s="12"/>
      <c r="R28" s="12"/>
      <c r="S28" s="35">
        <v>28000</v>
      </c>
      <c r="T28" s="518"/>
      <c r="U28" s="35" t="s">
        <v>1059</v>
      </c>
      <c r="V28" s="242" t="str">
        <f>IFERROR(IF(D28="tonnes/yr", $S28*$E28/($N$20*3.6), $T28*$E28*3.6/($N$20*3.6)), "Unfilled fields to left")</f>
        <v>Unfilled fields to left</v>
      </c>
      <c r="X28" s="21"/>
    </row>
    <row r="29" spans="2:29" s="14" customFormat="1">
      <c r="B29" s="186" t="s">
        <v>1113</v>
      </c>
      <c r="C29" s="184" t="s">
        <v>1075</v>
      </c>
      <c r="D29" s="179" t="s">
        <v>459</v>
      </c>
      <c r="E29" s="35"/>
      <c r="F29" s="21"/>
      <c r="G29" s="21"/>
      <c r="H29" s="20"/>
      <c r="I29" s="36"/>
      <c r="J29" s="300"/>
      <c r="K29" s="302"/>
      <c r="L29" s="302"/>
      <c r="M29" s="302"/>
      <c r="N29" s="242">
        <f t="shared" si="6"/>
        <v>0</v>
      </c>
      <c r="O29" s="12"/>
      <c r="P29" s="12"/>
      <c r="Q29" s="12"/>
      <c r="R29" s="12"/>
      <c r="S29" s="35">
        <v>265000</v>
      </c>
      <c r="T29" s="518"/>
      <c r="U29" s="35" t="s">
        <v>1059</v>
      </c>
      <c r="V29" s="242" t="str">
        <f>IFERROR(IF(D29="tonnes/yr", $S29*$E29/($N$20*3.6), $T29*$E29*3.6/($N$20*3.6)), "Unfilled fields to left")</f>
        <v>Unfilled fields to left</v>
      </c>
      <c r="X29" s="21"/>
    </row>
    <row r="30" spans="2:29" s="14" customFormat="1">
      <c r="B30" s="16"/>
      <c r="C30" s="15"/>
      <c r="D30" s="179"/>
      <c r="E30" s="35"/>
      <c r="F30" s="21"/>
      <c r="G30" s="21"/>
      <c r="H30" s="20"/>
      <c r="I30" s="36"/>
      <c r="J30" s="300"/>
      <c r="K30" s="302"/>
      <c r="L30" s="302"/>
      <c r="M30" s="302"/>
      <c r="N30" s="242">
        <f t="shared" si="6"/>
        <v>0</v>
      </c>
      <c r="O30" s="12"/>
      <c r="P30" s="12"/>
      <c r="Q30" s="12"/>
      <c r="R30" s="12"/>
      <c r="S30" s="300"/>
      <c r="T30" s="477"/>
      <c r="U30" s="302"/>
      <c r="V30" s="242" t="str">
        <f>IFERROR(IF(D30="tonnes/yr", $S30*$E30/($N$20*3.6), $T30*$E30*3.6/($N$20*3.6)), "Unfilled fields to left")</f>
        <v>Unfilled fields to left</v>
      </c>
      <c r="X30" s="21"/>
    </row>
    <row r="31" spans="2:29" s="14" customFormat="1">
      <c r="B31" s="16"/>
      <c r="C31" s="15"/>
      <c r="D31" s="179"/>
      <c r="E31" s="35"/>
      <c r="F31" s="21"/>
      <c r="G31" s="21"/>
      <c r="H31" s="20"/>
      <c r="I31" s="36"/>
      <c r="J31" s="300"/>
      <c r="K31" s="302"/>
      <c r="L31" s="302"/>
      <c r="M31" s="302"/>
      <c r="N31" s="242">
        <f t="shared" si="6"/>
        <v>0</v>
      </c>
      <c r="O31" s="12"/>
      <c r="P31" s="12"/>
      <c r="Q31" s="12"/>
      <c r="R31" s="12"/>
      <c r="S31" s="300"/>
      <c r="T31" s="477"/>
      <c r="U31" s="302"/>
      <c r="V31" s="242" t="str">
        <f>IFERROR(IF(D31="tonnes/yr", $S31*$E31/($N$20*3.6), $T31*$E31*3.6/($N$20*3.6)), "Unfilled fields to left")</f>
        <v>Unfilled fields to left</v>
      </c>
      <c r="X31" s="21"/>
    </row>
    <row r="32" spans="2:29">
      <c r="C32" s="17"/>
      <c r="D32" s="17"/>
      <c r="E32" s="140"/>
      <c r="F32" s="17"/>
      <c r="H32" s="18"/>
      <c r="I32" s="18"/>
      <c r="J32" s="40"/>
      <c r="K32" s="40"/>
      <c r="L32" s="40"/>
      <c r="M32" s="40"/>
      <c r="N32" s="40"/>
      <c r="O32" s="12"/>
      <c r="P32" s="12"/>
      <c r="S32" s="40"/>
      <c r="T32" s="40"/>
      <c r="U32" s="40"/>
      <c r="V32" s="40"/>
      <c r="Y32" s="12"/>
    </row>
    <row r="33" spans="2:25">
      <c r="D33" s="17"/>
      <c r="E33" s="140"/>
      <c r="J33" s="39"/>
      <c r="K33" s="39"/>
      <c r="L33" s="39"/>
      <c r="M33" s="39"/>
      <c r="O33" s="12"/>
      <c r="P33" s="12"/>
      <c r="S33" s="39"/>
      <c r="T33" s="39"/>
      <c r="U33" s="38" t="s">
        <v>1114</v>
      </c>
      <c r="V33" s="153">
        <f>SUM(V7:V32)</f>
        <v>0</v>
      </c>
      <c r="Y33" s="12"/>
    </row>
    <row r="34" spans="2:25">
      <c r="B34" s="145" t="s">
        <v>132</v>
      </c>
      <c r="C34" s="159"/>
      <c r="D34" s="159"/>
      <c r="E34" s="499"/>
      <c r="I34" s="12"/>
      <c r="J34" s="107"/>
      <c r="K34" s="107"/>
      <c r="L34" s="107"/>
      <c r="M34" s="107"/>
      <c r="N34" s="107"/>
      <c r="O34" s="12"/>
      <c r="P34" s="12"/>
      <c r="S34" s="107"/>
      <c r="T34" s="107"/>
      <c r="U34" s="107"/>
      <c r="Y34" s="12"/>
    </row>
    <row r="35" spans="2:25">
      <c r="B35" s="16" t="s">
        <v>1086</v>
      </c>
      <c r="C35" s="15" t="s">
        <v>1087</v>
      </c>
      <c r="D35" s="15" t="s">
        <v>1088</v>
      </c>
      <c r="E35" s="501"/>
      <c r="G35" s="19"/>
      <c r="H35" s="12"/>
      <c r="I35" s="12"/>
      <c r="J35" s="107"/>
      <c r="K35" s="107"/>
      <c r="L35" s="107"/>
      <c r="M35" s="107"/>
      <c r="N35" s="107"/>
      <c r="O35" s="12"/>
      <c r="P35" s="12"/>
      <c r="S35" s="107"/>
      <c r="T35" s="107"/>
      <c r="U35" s="107"/>
      <c r="V35" s="12"/>
      <c r="X35" s="25"/>
      <c r="Y35" s="12"/>
    </row>
    <row r="36" spans="2:25">
      <c r="B36" s="16" t="s">
        <v>1119</v>
      </c>
      <c r="C36" s="15" t="s">
        <v>1120</v>
      </c>
      <c r="D36" s="15" t="s">
        <v>299</v>
      </c>
      <c r="E36" s="501"/>
      <c r="H36" s="12"/>
      <c r="I36" s="12"/>
      <c r="J36" s="107"/>
      <c r="K36" s="107"/>
      <c r="L36" s="107"/>
      <c r="M36" s="107"/>
      <c r="N36" s="107"/>
      <c r="O36" s="12"/>
      <c r="P36" s="12"/>
      <c r="S36" s="107"/>
      <c r="T36" s="107"/>
      <c r="U36" s="107"/>
      <c r="V36" s="12"/>
      <c r="X36" s="25"/>
      <c r="Y36" s="12"/>
    </row>
    <row r="37" spans="2:25">
      <c r="B37" s="16"/>
      <c r="C37" s="15"/>
      <c r="D37" s="15"/>
      <c r="E37" s="507"/>
      <c r="J37" s="39"/>
      <c r="K37" s="39"/>
      <c r="L37" s="39"/>
      <c r="M37" s="39"/>
      <c r="S37" s="39"/>
      <c r="T37" s="39"/>
      <c r="U37" s="39"/>
      <c r="X37" s="25"/>
    </row>
    <row r="38" spans="2:25">
      <c r="B38" s="16"/>
      <c r="C38" s="15"/>
      <c r="D38" s="15"/>
      <c r="E38" s="507"/>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H6" activePane="bottomRight" state="frozen"/>
      <selection pane="bottomRight" activeCell="D2" sqref="D2"/>
      <pageMargins left="0" right="0" top="0" bottom="0" header="0" footer="0"/>
      <pageSetup paperSize="9" orientation="portrait" r:id="rId4"/>
    </customSheetView>
    <customSheetView guid="{E6EFD927-84B2-4D06-BB59-59D9DF522DA2}" showGridLines="0">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H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9C1DDE20-5296-4D5F-971A-8F08581C1223}">
      <formula1>Flow_units</formula1>
    </dataValidation>
    <dataValidation type="custom" allowBlank="1" showInputMessage="1" showErrorMessage="1" error="Please do not change this formula" prompt="Please do not change this formula" sqref="V6:V1048576 W4 V1:V4 S5:V5" xr:uid="{B96A6A0B-6C65-4F26-904C-38A4BE148E6C}">
      <formula1>"Please do not change this formula"</formula1>
    </dataValidation>
    <dataValidation type="custom" allowBlank="1" showInputMessage="1" showErrorMessage="1" error="Please do not change this formula" sqref="R6:R19 R23:R1048576 N1:N1048576 O1:R5 O6:Q1048576" xr:uid="{A5EA4664-271C-4E6F-9AED-60F07896D2F8}">
      <formula1>"Please do not change this formula"</formula1>
    </dataValidation>
    <dataValidation type="custom" allowBlank="1" showInputMessage="1" showErrorMessage="1" error="Please do not change" sqref="R20:R22" xr:uid="{7D7F1C84-8E09-4A55-813C-B4AF6AA8E2AF}">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7D9635B3-7682-4CA6-A9D3-2F582A2BD205}">
      <formula1>0</formula1>
    </dataValidation>
  </dataValidations>
  <hyperlinks>
    <hyperlink ref="I2:J2" location="'Biomass Gasification (+CCS)'!A1" display="Go to the next step of this pathway" xr:uid="{0E7B16DA-781E-4466-93C9-D78009F42FED}"/>
    <hyperlink ref="I2:K2" location="Biomass_Gasification_CCS!A1" display="Go to the next step of this pathway" xr:uid="{3A1EFEC2-BFB8-4927-9C44-6C6ADEA8A9C8}"/>
  </hyperlinks>
  <pageMargins left="0" right="0" top="0" bottom="0" header="0" footer="0"/>
  <pageSetup paperSize="9" orientation="portrait" r:id="rId10"/>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2F00-000001000000}">
            <xm:f>AND(Path&lt;&gt;Units!$B$135,Path&lt;&gt;Units!$B$136,Master_Switch="On")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31" id="{00000000-000E-0000-2600-00001E000000}">
            <xm:f>AND(GHG_BIOMASS_GASIFICATION!$D$5="Default",Master_Switch="On")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12E44-9EC7-40B1-A9B2-D1301E84E4BA}">
  <sheetPr codeName="Sheet33">
    <tabColor rgb="FFCCFF66"/>
  </sheetPr>
  <dimension ref="A1:AC246"/>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457"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18.54296875" style="12" customWidth="1"/>
    <col min="16" max="16" width="7.1796875" customWidth="1"/>
    <col min="17" max="17" width="16.54296875" style="12" customWidth="1"/>
    <col min="18" max="18" width="17.54296875" style="12" customWidth="1"/>
    <col min="19" max="20" width="20.7265625" style="13" customWidth="1"/>
    <col min="21" max="21" width="22.7265625" style="13" customWidth="1"/>
    <col min="22" max="22" width="20.26953125" style="39" customWidth="1"/>
    <col min="23" max="23" width="7.1796875" style="12"/>
    <col min="24" max="24" width="26" style="12" customWidth="1"/>
    <col min="26" max="16384" width="7.1796875" style="12"/>
  </cols>
  <sheetData>
    <row r="1" spans="1:28" ht="31.9" customHeight="1">
      <c r="A1" s="80" t="str">
        <f>IF(AND(Path&lt;&gt;Units!$B$135,Path&lt;&gt;Units!$B$136,Master_Switch="On"),"User should not fill in this sheet, but switch to other non-blank GHG worksheets","")</f>
        <v>User should not fill in this sheet, but switch to other non-blank GHG worksheets</v>
      </c>
      <c r="E1" s="256"/>
    </row>
    <row r="2" spans="1:28" ht="20.5" customHeight="1">
      <c r="E2" s="256"/>
      <c r="I2" s="729" t="s">
        <v>983</v>
      </c>
      <c r="J2" s="731"/>
      <c r="K2" s="732"/>
      <c r="L2" s="557"/>
      <c r="M2" s="557"/>
    </row>
    <row r="3" spans="1:28" ht="15" customHeight="1">
      <c r="E3" s="256"/>
      <c r="L3" s="553"/>
    </row>
    <row r="4" spans="1:28" ht="15.65" customHeight="1" thickBot="1">
      <c r="B4" s="3"/>
      <c r="C4" s="3"/>
      <c r="D4" s="3"/>
      <c r="E4" s="455"/>
      <c r="F4" s="3"/>
      <c r="G4" s="3"/>
      <c r="H4" s="1"/>
      <c r="I4" s="1"/>
      <c r="J4" s="1"/>
      <c r="K4" s="1"/>
      <c r="L4" s="1"/>
      <c r="M4" s="1"/>
      <c r="N4" s="37"/>
      <c r="O4" s="1"/>
      <c r="P4" s="1"/>
      <c r="Q4" s="1"/>
      <c r="R4" s="3"/>
      <c r="S4" s="1"/>
      <c r="T4" s="1"/>
      <c r="U4" s="1"/>
      <c r="V4" s="37"/>
      <c r="W4" s="37"/>
      <c r="X4" s="37"/>
    </row>
    <row r="5" spans="1:28"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8" ht="15" thickTop="1">
      <c r="E6" s="256"/>
      <c r="H6" s="19"/>
      <c r="I6" s="19"/>
      <c r="Q6" s="39"/>
    </row>
    <row r="7" spans="1:28">
      <c r="B7" s="145" t="s">
        <v>1003</v>
      </c>
      <c r="C7" s="145"/>
      <c r="D7" s="145"/>
      <c r="E7" s="324"/>
      <c r="F7" s="145"/>
      <c r="G7" s="145"/>
      <c r="H7" s="145"/>
      <c r="I7" s="145"/>
      <c r="J7" s="145"/>
      <c r="K7" s="145"/>
      <c r="L7" s="145"/>
      <c r="M7" s="145"/>
      <c r="N7" s="301"/>
      <c r="Q7" s="556"/>
      <c r="S7" s="18"/>
      <c r="T7" s="18"/>
      <c r="U7" s="18"/>
      <c r="V7" s="40"/>
      <c r="Y7" s="12"/>
    </row>
    <row r="8" spans="1:28">
      <c r="B8" s="16" t="s">
        <v>1004</v>
      </c>
      <c r="C8" s="184" t="s">
        <v>1220</v>
      </c>
      <c r="D8" s="179" t="s">
        <v>459</v>
      </c>
      <c r="E8" s="35"/>
      <c r="F8" s="24"/>
      <c r="G8" s="21"/>
      <c r="H8" s="21"/>
      <c r="I8" s="21"/>
      <c r="J8" s="300"/>
      <c r="K8" s="306"/>
      <c r="L8" s="306"/>
      <c r="M8" s="306"/>
      <c r="N8" s="242">
        <f t="shared" ref="N8:N17" si="0">IF($D8="MWh/yr (LHV)",$E8,$J8*$E8*(1-$L8)/Conversion_kWh_to_MJ)</f>
        <v>0</v>
      </c>
      <c r="Q8" s="555"/>
      <c r="S8" s="40"/>
      <c r="T8" s="40"/>
      <c r="U8" s="40"/>
      <c r="V8" s="40"/>
      <c r="X8" s="21"/>
      <c r="Y8" s="12"/>
    </row>
    <row r="9" spans="1:28">
      <c r="B9" s="16" t="s">
        <v>1006</v>
      </c>
      <c r="C9" s="15" t="s">
        <v>1121</v>
      </c>
      <c r="D9" s="15" t="s">
        <v>459</v>
      </c>
      <c r="E9" s="35">
        <f>Hydrogen_flow</f>
        <v>0</v>
      </c>
      <c r="F9" s="21"/>
      <c r="G9" s="21"/>
      <c r="H9" s="21"/>
      <c r="I9" s="21"/>
      <c r="J9" s="35">
        <v>120</v>
      </c>
      <c r="K9" s="306"/>
      <c r="L9" s="552">
        <v>0</v>
      </c>
      <c r="M9" s="306"/>
      <c r="N9" s="242">
        <f t="shared" si="0"/>
        <v>0</v>
      </c>
      <c r="O9" s="244" t="str">
        <f>IFERROR(N9/N8,"")</f>
        <v/>
      </c>
      <c r="Q9" s="515">
        <f>IF($D9="MWh/yr (LHV)",$E9,$E9*MAX(0, $J9*(1-$L9)-2.441*$L9)/Conversion_kWh_to_MJ)</f>
        <v>0</v>
      </c>
      <c r="R9" s="245" t="str">
        <f>IFERROR(Q9/(SUM($Q$9:$Q$13)),"")</f>
        <v/>
      </c>
      <c r="S9" s="42"/>
      <c r="T9" s="42"/>
      <c r="U9" s="42"/>
      <c r="V9" s="12"/>
      <c r="X9" s="21"/>
      <c r="Y9" s="12"/>
    </row>
    <row r="10" spans="1:28">
      <c r="B10" s="186" t="s">
        <v>1008</v>
      </c>
      <c r="C10" s="184" t="s">
        <v>1009</v>
      </c>
      <c r="D10" s="179" t="s">
        <v>479</v>
      </c>
      <c r="E10" s="35"/>
      <c r="F10" s="21"/>
      <c r="G10" s="21"/>
      <c r="H10" s="20"/>
      <c r="I10" s="33"/>
      <c r="J10" s="300"/>
      <c r="K10" s="302"/>
      <c r="L10" s="302"/>
      <c r="M10" s="302"/>
      <c r="N10" s="242">
        <f t="shared" si="0"/>
        <v>0</v>
      </c>
      <c r="Q10" s="515">
        <f>IF($D10="MWh/yr (LHV)",$E10,$E10*MAX(0, $J10*(1-$L10)-2.441*$L10)/Conversion_kWh_to_MJ)</f>
        <v>0</v>
      </c>
      <c r="R10" s="245" t="str">
        <f t="shared" ref="R10:R13" si="1">IFERROR(Q10/(SUM($Q$9:$Q$13)),"")</f>
        <v/>
      </c>
      <c r="S10" s="42"/>
      <c r="T10" s="42"/>
      <c r="U10" s="42"/>
      <c r="V10" s="19"/>
      <c r="W10" s="23"/>
      <c r="X10" s="21"/>
      <c r="Y10" s="12"/>
    </row>
    <row r="11" spans="1:28">
      <c r="B11" s="186" t="s">
        <v>1008</v>
      </c>
      <c r="C11" s="184" t="s">
        <v>1098</v>
      </c>
      <c r="D11" s="179" t="s">
        <v>479</v>
      </c>
      <c r="E11" s="35"/>
      <c r="F11" s="21"/>
      <c r="G11" s="21"/>
      <c r="H11" s="20"/>
      <c r="I11" s="20"/>
      <c r="J11" s="302"/>
      <c r="K11" s="302"/>
      <c r="L11" s="302"/>
      <c r="M11" s="302"/>
      <c r="N11" s="242">
        <f t="shared" si="0"/>
        <v>0</v>
      </c>
      <c r="Q11" s="515">
        <f>IF($D11="MWh/yr (LHV)",$E11,$E11*MAX(0, $J11*(1-$L11)-2.441*$L11)/Conversion_kWh_to_MJ)</f>
        <v>0</v>
      </c>
      <c r="R11" s="245" t="str">
        <f t="shared" si="1"/>
        <v/>
      </c>
      <c r="S11" s="42"/>
      <c r="T11" s="42"/>
      <c r="U11" s="42"/>
      <c r="V11" s="14"/>
      <c r="W11" s="23"/>
      <c r="X11" s="21"/>
      <c r="Y11" s="12"/>
    </row>
    <row r="12" spans="1:28">
      <c r="B12" s="186" t="s">
        <v>1008</v>
      </c>
      <c r="C12" s="184" t="s">
        <v>1011</v>
      </c>
      <c r="D12" s="179" t="s">
        <v>459</v>
      </c>
      <c r="E12" s="35"/>
      <c r="F12" s="21"/>
      <c r="G12" s="21"/>
      <c r="H12" s="20"/>
      <c r="I12" s="20"/>
      <c r="J12" s="302"/>
      <c r="K12" s="302"/>
      <c r="L12" s="302"/>
      <c r="M12" s="302"/>
      <c r="N12" s="242">
        <f t="shared" si="0"/>
        <v>0</v>
      </c>
      <c r="Q12" s="515">
        <f>IF($D12="MWh/yr (LHV)",$E12,$E12*MAX(0, $J12*(1-$L12)-2.441*$L12)/Conversion_kWh_to_MJ)</f>
        <v>0</v>
      </c>
      <c r="R12" s="245" t="str">
        <f t="shared" si="1"/>
        <v/>
      </c>
      <c r="S12" s="40"/>
      <c r="T12" s="40"/>
      <c r="U12" s="40"/>
      <c r="V12" s="40"/>
      <c r="X12" s="21"/>
      <c r="Y12" s="12"/>
    </row>
    <row r="13" spans="1:28">
      <c r="B13" s="186" t="s">
        <v>1008</v>
      </c>
      <c r="C13" s="184" t="s">
        <v>1012</v>
      </c>
      <c r="D13" s="179" t="s">
        <v>459</v>
      </c>
      <c r="E13" s="35"/>
      <c r="F13" s="21"/>
      <c r="G13" s="21"/>
      <c r="H13" s="20"/>
      <c r="I13" s="20"/>
      <c r="J13" s="302"/>
      <c r="K13" s="302"/>
      <c r="L13" s="302"/>
      <c r="M13" s="302"/>
      <c r="N13" s="242">
        <f t="shared" si="0"/>
        <v>0</v>
      </c>
      <c r="Q13" s="515">
        <f>IF($D13="MWh/yr (LHV)",$E13,$E13*MAX(0, $J13*(1-$L13)-2.441*$L13)/Conversion_kWh_to_MJ)</f>
        <v>0</v>
      </c>
      <c r="R13" s="245" t="str">
        <f t="shared" si="1"/>
        <v/>
      </c>
      <c r="S13" s="40"/>
      <c r="T13" s="40"/>
      <c r="U13" s="40"/>
      <c r="V13" s="40"/>
      <c r="X13" s="21"/>
      <c r="Y13" s="12"/>
    </row>
    <row r="14" spans="1:28" s="14" customFormat="1">
      <c r="B14" s="186" t="s">
        <v>1013</v>
      </c>
      <c r="C14" s="184" t="s">
        <v>1108</v>
      </c>
      <c r="D14" s="179" t="s">
        <v>459</v>
      </c>
      <c r="E14" s="35"/>
      <c r="F14" s="21"/>
      <c r="G14" s="21"/>
      <c r="H14" s="20"/>
      <c r="I14" s="20"/>
      <c r="J14" s="302"/>
      <c r="K14" s="302"/>
      <c r="L14" s="302"/>
      <c r="M14" s="302"/>
      <c r="N14" s="242">
        <f t="shared" si="0"/>
        <v>0</v>
      </c>
      <c r="O14" s="12"/>
      <c r="Q14" s="555"/>
      <c r="R14" s="12"/>
      <c r="S14" s="107"/>
      <c r="T14" s="107"/>
      <c r="U14" s="107"/>
      <c r="V14" s="12"/>
      <c r="W14" s="23"/>
      <c r="X14" s="21"/>
      <c r="Y14" s="23"/>
      <c r="Z14" s="42"/>
      <c r="AB14" s="12"/>
    </row>
    <row r="15" spans="1:28" s="14" customFormat="1">
      <c r="B15" s="186" t="s">
        <v>1013</v>
      </c>
      <c r="C15" s="184" t="s">
        <v>1015</v>
      </c>
      <c r="D15" s="179" t="s">
        <v>459</v>
      </c>
      <c r="E15" s="35"/>
      <c r="F15" s="21"/>
      <c r="G15" s="21"/>
      <c r="H15" s="20"/>
      <c r="I15" s="20"/>
      <c r="J15" s="302"/>
      <c r="K15" s="302"/>
      <c r="L15" s="554"/>
      <c r="M15" s="302"/>
      <c r="N15" s="242">
        <f t="shared" si="0"/>
        <v>0</v>
      </c>
      <c r="O15" s="12"/>
      <c r="Q15" s="555"/>
      <c r="R15" s="12"/>
      <c r="S15" s="107"/>
      <c r="T15" s="107"/>
      <c r="U15" s="107"/>
      <c r="V15" s="12"/>
      <c r="W15" s="23"/>
      <c r="X15" s="21"/>
      <c r="Y15" s="23"/>
      <c r="Z15" s="42"/>
      <c r="AB15" s="12"/>
    </row>
    <row r="16" spans="1:28" s="14" customFormat="1">
      <c r="B16" s="186" t="s">
        <v>1016</v>
      </c>
      <c r="C16" s="184" t="s">
        <v>1017</v>
      </c>
      <c r="D16" s="179" t="s">
        <v>459</v>
      </c>
      <c r="E16" s="35"/>
      <c r="F16" s="21"/>
      <c r="G16" s="21"/>
      <c r="H16" s="20"/>
      <c r="I16" s="36"/>
      <c r="J16" s="300"/>
      <c r="K16" s="302"/>
      <c r="L16" s="302"/>
      <c r="M16" s="302"/>
      <c r="N16" s="242">
        <f t="shared" si="0"/>
        <v>0</v>
      </c>
      <c r="O16" s="12"/>
      <c r="Q16" s="555"/>
      <c r="R16" s="12"/>
      <c r="S16" s="107"/>
      <c r="T16" s="107"/>
      <c r="U16" s="107"/>
      <c r="V16" s="12"/>
      <c r="X16" s="21"/>
    </row>
    <row r="17" spans="2:29" s="14" customFormat="1">
      <c r="B17" s="186" t="s">
        <v>1016</v>
      </c>
      <c r="C17" s="184" t="s">
        <v>1018</v>
      </c>
      <c r="D17" s="179" t="s">
        <v>459</v>
      </c>
      <c r="E17" s="35"/>
      <c r="F17" s="21"/>
      <c r="G17" s="21"/>
      <c r="H17" s="20"/>
      <c r="I17" s="36"/>
      <c r="J17" s="300"/>
      <c r="K17" s="302"/>
      <c r="L17" s="302"/>
      <c r="M17" s="302"/>
      <c r="N17" s="242">
        <f t="shared" si="0"/>
        <v>0</v>
      </c>
      <c r="O17" s="12"/>
      <c r="Q17" s="555"/>
      <c r="R17" s="12"/>
      <c r="S17" s="107"/>
      <c r="T17" s="107"/>
      <c r="U17" s="107"/>
      <c r="V17" s="12"/>
      <c r="X17" s="21"/>
    </row>
    <row r="18" spans="2:29">
      <c r="B18" s="68"/>
      <c r="C18" s="69"/>
      <c r="D18" s="78"/>
      <c r="E18" s="75"/>
      <c r="F18" s="76"/>
      <c r="G18" s="79"/>
      <c r="H18" s="71"/>
      <c r="I18" s="71"/>
      <c r="J18" s="75"/>
      <c r="K18" s="73"/>
      <c r="L18" s="73"/>
      <c r="M18" s="73"/>
      <c r="N18" s="73"/>
      <c r="S18" s="40"/>
      <c r="T18" s="40"/>
      <c r="U18" s="40"/>
      <c r="V18" s="40"/>
      <c r="X18" s="76"/>
      <c r="Y18" s="12"/>
    </row>
    <row r="19" spans="2:29" ht="31">
      <c r="B19" s="80" t="str">
        <f>IF(AND(GHG_BIOMASS_GASIFICATION!$D$9="Default",Master_Switch="On"),"Default data selected for the emissions category below, move to the next emissions category within this step","")</f>
        <v/>
      </c>
      <c r="C19" s="69"/>
      <c r="D19" s="78"/>
      <c r="E19" s="75"/>
      <c r="F19" s="76"/>
      <c r="G19" s="79"/>
      <c r="H19" s="71"/>
      <c r="I19" s="71"/>
      <c r="J19" s="75"/>
      <c r="K19" s="73"/>
      <c r="L19" s="73"/>
      <c r="M19" s="73"/>
      <c r="N19" s="73"/>
      <c r="S19" s="40"/>
      <c r="T19" s="40"/>
      <c r="U19" s="40"/>
      <c r="V19" s="40"/>
      <c r="X19" s="76"/>
      <c r="Y19" s="12"/>
    </row>
    <row r="20" spans="2:29">
      <c r="B20" s="145" t="s">
        <v>1123</v>
      </c>
      <c r="C20" s="146"/>
      <c r="D20" s="146"/>
      <c r="E20" s="147"/>
      <c r="F20" s="148"/>
      <c r="G20" s="149"/>
      <c r="H20" s="150"/>
      <c r="I20" s="150"/>
      <c r="J20" s="147"/>
      <c r="K20" s="492"/>
      <c r="L20" s="492"/>
      <c r="M20" s="492"/>
      <c r="N20" s="491"/>
      <c r="O20" s="152"/>
      <c r="P20" s="152"/>
      <c r="Q20" s="152"/>
      <c r="R20" s="152"/>
      <c r="S20" s="480"/>
      <c r="T20" s="480"/>
      <c r="U20" s="480"/>
      <c r="V20" s="153">
        <f>SUM(V21:V30)</f>
        <v>0</v>
      </c>
      <c r="Y20" s="12"/>
    </row>
    <row r="21" spans="2:29">
      <c r="B21" s="186" t="s">
        <v>1021</v>
      </c>
      <c r="C21" s="184" t="s">
        <v>1223</v>
      </c>
      <c r="D21" s="179" t="s">
        <v>479</v>
      </c>
      <c r="E21" s="35"/>
      <c r="F21" s="24"/>
      <c r="G21" s="21"/>
      <c r="H21" s="21"/>
      <c r="I21" s="21"/>
      <c r="J21" s="303"/>
      <c r="K21" s="306"/>
      <c r="L21" s="306"/>
      <c r="M21" s="306"/>
      <c r="N21" s="242">
        <f t="shared" ref="N21:N30" si="2">IF($D21="MWh/yr (LHV)",$E21,$J21*$E21*(1-$L21)/Conversion_kWh_to_MJ)</f>
        <v>0</v>
      </c>
      <c r="S21" s="35" t="str">
        <f t="shared" ref="S21:S30" si="3">IF(B21="", "", IF(D21="MWh/yr (LHV)", "Use column to right", "Enter data here"))</f>
        <v>Use column to right</v>
      </c>
      <c r="T21" s="35" t="e">
        <f>IF(B21="", "", IF(D21="MWh/yr (LHV)", Initial_questions!$E$43*1/Conversion_kWh_to_MJ, "Use column to left"))</f>
        <v>#VALUE!</v>
      </c>
      <c r="U21" s="35" t="s">
        <v>1062</v>
      </c>
      <c r="V21" s="243" t="str">
        <f t="shared" ref="V21:V30" si="4">IFERROR(IF(D21="tonnes/yr", $S21*$E21/($N$9*3.6), $T21*$E21*3.6/($N$9*3.6)), "Unfilled fields to left")</f>
        <v>Unfilled fields to left</v>
      </c>
      <c r="X21" s="21"/>
      <c r="Y21" s="12"/>
    </row>
    <row r="22" spans="2:29" s="14" customFormat="1">
      <c r="B22" s="186" t="s">
        <v>1021</v>
      </c>
      <c r="C22" s="184" t="s">
        <v>1039</v>
      </c>
      <c r="D22" s="179" t="s">
        <v>479</v>
      </c>
      <c r="E22" s="35"/>
      <c r="F22" s="24"/>
      <c r="G22" s="21"/>
      <c r="H22" s="63"/>
      <c r="I22" s="63"/>
      <c r="J22" s="304"/>
      <c r="K22" s="306"/>
      <c r="L22" s="306"/>
      <c r="M22" s="306"/>
      <c r="N22" s="242">
        <f t="shared" si="2"/>
        <v>0</v>
      </c>
      <c r="O22" s="19"/>
      <c r="Q22" s="19"/>
      <c r="R22" s="19"/>
      <c r="S22" s="35" t="str">
        <f t="shared" si="3"/>
        <v>Use column to right</v>
      </c>
      <c r="T22" s="35" t="str">
        <f t="shared" ref="T22:T30" si="5">IF(B22="", "", IF(D22="MWh/yr (LHV)", "Enter data here", "Use column to left"))</f>
        <v>Enter data here</v>
      </c>
      <c r="U22" s="35" t="s">
        <v>1040</v>
      </c>
      <c r="V22" s="357" t="str">
        <f t="shared" si="4"/>
        <v>Unfilled fields to left</v>
      </c>
      <c r="X22" s="21"/>
    </row>
    <row r="23" spans="2:29" s="14" customFormat="1">
      <c r="B23" s="186" t="s">
        <v>1021</v>
      </c>
      <c r="C23" s="184" t="s">
        <v>1041</v>
      </c>
      <c r="D23" s="179" t="s">
        <v>479</v>
      </c>
      <c r="E23" s="35"/>
      <c r="F23" s="24"/>
      <c r="G23" s="21"/>
      <c r="H23" s="63"/>
      <c r="I23" s="63"/>
      <c r="J23" s="304"/>
      <c r="K23" s="306"/>
      <c r="L23" s="306"/>
      <c r="M23" s="306"/>
      <c r="N23" s="242">
        <f t="shared" si="2"/>
        <v>0</v>
      </c>
      <c r="O23" s="19"/>
      <c r="Q23" s="19"/>
      <c r="R23" s="19"/>
      <c r="S23" s="483" t="str">
        <f t="shared" si="3"/>
        <v>Use column to right</v>
      </c>
      <c r="T23" s="35" t="str">
        <f t="shared" si="5"/>
        <v>Enter data here</v>
      </c>
      <c r="U23" s="35" t="s">
        <v>1040</v>
      </c>
      <c r="V23" s="357" t="str">
        <f t="shared" si="4"/>
        <v>Unfilled fields to left</v>
      </c>
      <c r="X23" s="65"/>
    </row>
    <row r="24" spans="2:29">
      <c r="B24" s="186" t="s">
        <v>1042</v>
      </c>
      <c r="C24" s="184" t="s">
        <v>1043</v>
      </c>
      <c r="D24" s="179" t="s">
        <v>459</v>
      </c>
      <c r="E24" s="35"/>
      <c r="F24" s="82"/>
      <c r="G24" s="21"/>
      <c r="H24" s="20"/>
      <c r="I24" s="36"/>
      <c r="J24" s="300"/>
      <c r="K24" s="302"/>
      <c r="L24" s="302"/>
      <c r="M24" s="302"/>
      <c r="N24" s="242">
        <f t="shared" si="2"/>
        <v>0</v>
      </c>
      <c r="S24" s="35" t="str">
        <f t="shared" si="3"/>
        <v>Enter data here</v>
      </c>
      <c r="T24" s="35" t="str">
        <f t="shared" si="5"/>
        <v>Use column to left</v>
      </c>
      <c r="U24" s="35" t="s">
        <v>1044</v>
      </c>
      <c r="V24" s="357" t="str">
        <f t="shared" si="4"/>
        <v>Unfilled fields to left</v>
      </c>
      <c r="X24" s="25"/>
      <c r="Y24" s="12"/>
    </row>
    <row r="25" spans="2:29">
      <c r="B25" s="186" t="s">
        <v>1042</v>
      </c>
      <c r="C25" s="184" t="s">
        <v>1045</v>
      </c>
      <c r="D25" s="179" t="s">
        <v>459</v>
      </c>
      <c r="E25" s="35"/>
      <c r="F25" s="21"/>
      <c r="G25" s="21"/>
      <c r="H25" s="20"/>
      <c r="I25" s="36"/>
      <c r="J25" s="300"/>
      <c r="K25" s="302"/>
      <c r="L25" s="302"/>
      <c r="M25" s="302"/>
      <c r="N25" s="242">
        <f t="shared" si="2"/>
        <v>0</v>
      </c>
      <c r="S25" s="35" t="str">
        <f t="shared" si="3"/>
        <v>Enter data here</v>
      </c>
      <c r="T25" s="35" t="str">
        <f t="shared" si="5"/>
        <v>Use column to left</v>
      </c>
      <c r="U25" s="35" t="s">
        <v>1044</v>
      </c>
      <c r="V25" s="357" t="str">
        <f t="shared" si="4"/>
        <v>Unfilled fields to left</v>
      </c>
      <c r="X25" s="25"/>
      <c r="Y25" s="12"/>
    </row>
    <row r="26" spans="2:29">
      <c r="B26" s="186" t="s">
        <v>1042</v>
      </c>
      <c r="C26" s="184" t="s">
        <v>1046</v>
      </c>
      <c r="D26" s="179" t="s">
        <v>459</v>
      </c>
      <c r="E26" s="35"/>
      <c r="F26" s="21"/>
      <c r="G26" s="21"/>
      <c r="H26" s="20"/>
      <c r="I26" s="36"/>
      <c r="J26" s="300"/>
      <c r="K26" s="302"/>
      <c r="L26" s="302"/>
      <c r="M26" s="302"/>
      <c r="N26" s="242">
        <f t="shared" si="2"/>
        <v>0</v>
      </c>
      <c r="O26" s="19"/>
      <c r="Q26" s="19"/>
      <c r="R26" s="19"/>
      <c r="S26" s="35" t="str">
        <f t="shared" si="3"/>
        <v>Enter data here</v>
      </c>
      <c r="T26" s="35" t="str">
        <f t="shared" si="5"/>
        <v>Use column to left</v>
      </c>
      <c r="U26" s="35" t="s">
        <v>1044</v>
      </c>
      <c r="V26" s="357" t="str">
        <f t="shared" si="4"/>
        <v>Unfilled fields to left</v>
      </c>
      <c r="W26" s="19"/>
      <c r="X26" s="25"/>
      <c r="Y26" s="19"/>
      <c r="Z26" s="19"/>
      <c r="AA26" s="19"/>
      <c r="AB26" s="19"/>
      <c r="AC26" s="19"/>
    </row>
    <row r="27" spans="2:29">
      <c r="B27" s="16"/>
      <c r="C27" s="15"/>
      <c r="D27" s="179"/>
      <c r="E27" s="35"/>
      <c r="F27" s="21"/>
      <c r="G27" s="21"/>
      <c r="H27" s="20"/>
      <c r="I27" s="36"/>
      <c r="J27" s="300"/>
      <c r="K27" s="302"/>
      <c r="L27" s="302"/>
      <c r="M27" s="302"/>
      <c r="N27" s="242">
        <f t="shared" si="2"/>
        <v>0</v>
      </c>
      <c r="O27" s="19"/>
      <c r="Q27" s="19"/>
      <c r="R27" s="19"/>
      <c r="S27" s="35" t="str">
        <f t="shared" si="3"/>
        <v/>
      </c>
      <c r="T27" s="35" t="str">
        <f t="shared" si="5"/>
        <v/>
      </c>
      <c r="U27" s="35"/>
      <c r="V27" s="357" t="str">
        <f t="shared" si="4"/>
        <v>Unfilled fields to left</v>
      </c>
      <c r="W27" s="19"/>
      <c r="X27" s="25"/>
      <c r="Y27" s="19"/>
      <c r="Z27" s="19"/>
      <c r="AA27" s="19"/>
      <c r="AB27" s="19"/>
      <c r="AC27" s="19"/>
    </row>
    <row r="28" spans="2:29">
      <c r="B28" s="16"/>
      <c r="C28" s="15"/>
      <c r="D28" s="179"/>
      <c r="E28" s="35"/>
      <c r="F28" s="21"/>
      <c r="G28" s="21"/>
      <c r="H28" s="20"/>
      <c r="I28" s="36"/>
      <c r="J28" s="300"/>
      <c r="K28" s="302"/>
      <c r="L28" s="302"/>
      <c r="M28" s="302"/>
      <c r="N28" s="242">
        <f t="shared" si="2"/>
        <v>0</v>
      </c>
      <c r="O28" s="19"/>
      <c r="Q28" s="19"/>
      <c r="R28" s="19"/>
      <c r="S28" s="35" t="str">
        <f t="shared" si="3"/>
        <v/>
      </c>
      <c r="T28" s="35" t="str">
        <f t="shared" si="5"/>
        <v/>
      </c>
      <c r="U28" s="35"/>
      <c r="V28" s="357" t="str">
        <f t="shared" si="4"/>
        <v>Unfilled fields to left</v>
      </c>
      <c r="W28" s="19"/>
      <c r="X28" s="25"/>
      <c r="Y28" s="19"/>
      <c r="Z28" s="19"/>
      <c r="AA28" s="19"/>
      <c r="AB28" s="19"/>
      <c r="AC28" s="19"/>
    </row>
    <row r="29" spans="2:29">
      <c r="B29" s="16"/>
      <c r="C29" s="15"/>
      <c r="D29" s="179"/>
      <c r="E29" s="35"/>
      <c r="F29" s="21"/>
      <c r="G29" s="21"/>
      <c r="H29" s="20"/>
      <c r="I29" s="36"/>
      <c r="J29" s="300"/>
      <c r="K29" s="302"/>
      <c r="L29" s="302"/>
      <c r="M29" s="302"/>
      <c r="N29" s="242">
        <f t="shared" si="2"/>
        <v>0</v>
      </c>
      <c r="O29" s="19"/>
      <c r="Q29" s="19"/>
      <c r="R29" s="19"/>
      <c r="S29" s="35" t="str">
        <f t="shared" si="3"/>
        <v/>
      </c>
      <c r="T29" s="35" t="str">
        <f t="shared" si="5"/>
        <v/>
      </c>
      <c r="U29" s="35"/>
      <c r="V29" s="357" t="str">
        <f t="shared" si="4"/>
        <v>Unfilled fields to left</v>
      </c>
      <c r="W29" s="19"/>
      <c r="X29" s="25"/>
      <c r="Y29" s="19"/>
      <c r="Z29" s="19"/>
      <c r="AA29" s="19"/>
      <c r="AB29" s="19"/>
      <c r="AC29" s="19"/>
    </row>
    <row r="30" spans="2:29">
      <c r="B30" s="16"/>
      <c r="C30" s="15"/>
      <c r="D30" s="179"/>
      <c r="E30" s="35"/>
      <c r="F30" s="21"/>
      <c r="G30" s="21"/>
      <c r="H30" s="20"/>
      <c r="I30" s="36"/>
      <c r="J30" s="300"/>
      <c r="K30" s="302"/>
      <c r="L30" s="302"/>
      <c r="M30" s="302"/>
      <c r="N30" s="242">
        <f t="shared" si="2"/>
        <v>0</v>
      </c>
      <c r="O30" s="19"/>
      <c r="Q30" s="19"/>
      <c r="R30" s="19"/>
      <c r="S30" s="35" t="str">
        <f t="shared" si="3"/>
        <v/>
      </c>
      <c r="T30" s="35" t="str">
        <f t="shared" si="5"/>
        <v/>
      </c>
      <c r="U30" s="35"/>
      <c r="V30" s="357" t="str">
        <f t="shared" si="4"/>
        <v>Unfilled fields to left</v>
      </c>
      <c r="W30" s="19"/>
      <c r="X30" s="25"/>
      <c r="Y30" s="19"/>
      <c r="Z30" s="19"/>
      <c r="AA30" s="19"/>
      <c r="AB30" s="19"/>
      <c r="AC30" s="19"/>
    </row>
    <row r="31" spans="2:29">
      <c r="C31" s="69"/>
      <c r="D31" s="69"/>
      <c r="E31" s="504"/>
      <c r="F31" s="70"/>
      <c r="G31" s="70"/>
      <c r="H31" s="71"/>
      <c r="I31" s="72"/>
      <c r="J31" s="75"/>
      <c r="K31" s="73"/>
      <c r="L31" s="73"/>
      <c r="M31" s="73"/>
      <c r="N31" s="73"/>
      <c r="S31" s="75"/>
      <c r="T31" s="73"/>
      <c r="U31" s="73"/>
      <c r="V31" s="73"/>
      <c r="X31" s="74"/>
      <c r="Y31" s="12"/>
    </row>
    <row r="32" spans="2:29" ht="31">
      <c r="B32" s="80" t="str">
        <f>IF(AND(GHG_BIOMASS_GASIFICATION!$D$10="Default",Master_Switch="On"),"Default data selected for the emissions category below, move to the next emissions category within this step","")</f>
        <v/>
      </c>
      <c r="C32" s="69"/>
      <c r="D32" s="69"/>
      <c r="E32" s="504"/>
      <c r="F32" s="70"/>
      <c r="G32" s="70"/>
      <c r="H32" s="71"/>
      <c r="I32" s="72"/>
      <c r="J32" s="75"/>
      <c r="K32" s="73"/>
      <c r="L32" s="73"/>
      <c r="M32" s="73"/>
      <c r="N32" s="73"/>
      <c r="S32" s="75"/>
      <c r="T32" s="73"/>
      <c r="U32" s="73"/>
      <c r="V32" s="73"/>
      <c r="X32" s="74"/>
      <c r="Y32" s="12"/>
    </row>
    <row r="33" spans="2:25" ht="16.5">
      <c r="B33" s="145" t="s">
        <v>1127</v>
      </c>
      <c r="C33" s="154"/>
      <c r="D33" s="154"/>
      <c r="E33" s="505"/>
      <c r="F33" s="155"/>
      <c r="G33" s="155"/>
      <c r="H33" s="156"/>
      <c r="I33" s="157"/>
      <c r="J33" s="305"/>
      <c r="K33" s="476"/>
      <c r="L33" s="476"/>
      <c r="M33" s="476"/>
      <c r="N33" s="476"/>
      <c r="O33" s="158"/>
      <c r="P33" s="158"/>
      <c r="Q33" s="158"/>
      <c r="R33" s="158"/>
      <c r="S33" s="305"/>
      <c r="T33" s="476"/>
      <c r="U33" s="476"/>
      <c r="V33" s="153">
        <f>SUM(V34:V43)</f>
        <v>0</v>
      </c>
      <c r="X33" s="74"/>
      <c r="Y33" s="12"/>
    </row>
    <row r="34" spans="2:25">
      <c r="B34" s="186" t="s">
        <v>1048</v>
      </c>
      <c r="C34" s="184" t="s">
        <v>1128</v>
      </c>
      <c r="D34" s="179" t="s">
        <v>459</v>
      </c>
      <c r="E34" s="35"/>
      <c r="F34" s="21"/>
      <c r="G34" s="21"/>
      <c r="H34" s="21"/>
      <c r="I34" s="21"/>
      <c r="J34" s="306"/>
      <c r="K34" s="306"/>
      <c r="L34" s="306"/>
      <c r="M34" s="306"/>
      <c r="N34" s="242">
        <f t="shared" ref="N34:N43" si="6">IF($D34="MWh/yr (LHV)",$E34,$J34*$E34*(1-$L34)/Conversion_kWh_to_MJ)</f>
        <v>0</v>
      </c>
      <c r="S34" s="35" t="s">
        <v>1129</v>
      </c>
      <c r="T34" s="35" t="s">
        <v>1130</v>
      </c>
      <c r="U34" s="35" t="s">
        <v>1050</v>
      </c>
      <c r="V34" s="242" t="str">
        <f t="shared" ref="V34:V43" si="7">IFERROR(IF(D34="tonnes/yr", $S34*$E34/($N$9*3.6), $T34*$E34*3.6/($N$9*3.6)), "Unfilled fields to left")</f>
        <v>Unfilled fields to left</v>
      </c>
      <c r="X34" s="21"/>
      <c r="Y34" s="12"/>
    </row>
    <row r="35" spans="2:25">
      <c r="B35" s="186" t="s">
        <v>1051</v>
      </c>
      <c r="C35" s="184" t="s">
        <v>1224</v>
      </c>
      <c r="D35" s="179" t="s">
        <v>459</v>
      </c>
      <c r="E35" s="35"/>
      <c r="F35" s="24"/>
      <c r="G35" s="21"/>
      <c r="H35" s="20"/>
      <c r="I35" s="36"/>
      <c r="J35" s="300"/>
      <c r="K35" s="302"/>
      <c r="L35" s="302"/>
      <c r="M35" s="302"/>
      <c r="N35" s="242">
        <f t="shared" si="6"/>
        <v>0</v>
      </c>
      <c r="S35" s="35" t="s">
        <v>1129</v>
      </c>
      <c r="T35" s="35" t="s">
        <v>1130</v>
      </c>
      <c r="U35" s="35" t="s">
        <v>1050</v>
      </c>
      <c r="V35" s="242" t="str">
        <f t="shared" si="7"/>
        <v>Unfilled fields to left</v>
      </c>
      <c r="X35" s="25"/>
      <c r="Y35" s="12"/>
    </row>
    <row r="36" spans="2:25">
      <c r="B36" s="186" t="s">
        <v>1051</v>
      </c>
      <c r="C36" s="184" t="s">
        <v>1010</v>
      </c>
      <c r="D36" s="179" t="s">
        <v>459</v>
      </c>
      <c r="E36" s="35"/>
      <c r="F36" s="21"/>
      <c r="G36" s="21"/>
      <c r="H36" s="20"/>
      <c r="I36" s="36"/>
      <c r="J36" s="300"/>
      <c r="K36" s="302"/>
      <c r="L36" s="302"/>
      <c r="M36" s="302"/>
      <c r="N36" s="242">
        <f t="shared" si="6"/>
        <v>0</v>
      </c>
      <c r="S36" s="35" t="s">
        <v>1129</v>
      </c>
      <c r="T36" s="35" t="s">
        <v>1130</v>
      </c>
      <c r="U36" s="35" t="s">
        <v>1050</v>
      </c>
      <c r="V36" s="242" t="str">
        <f t="shared" si="7"/>
        <v>Unfilled fields to left</v>
      </c>
      <c r="X36" s="25"/>
      <c r="Y36" s="12"/>
    </row>
    <row r="37" spans="2:25">
      <c r="B37" s="186" t="s">
        <v>1051</v>
      </c>
      <c r="C37" s="184" t="s">
        <v>1053</v>
      </c>
      <c r="D37" s="179" t="s">
        <v>459</v>
      </c>
      <c r="E37" s="35"/>
      <c r="F37" s="21"/>
      <c r="G37" s="21"/>
      <c r="H37" s="20"/>
      <c r="I37" s="36"/>
      <c r="J37" s="300"/>
      <c r="K37" s="302"/>
      <c r="L37" s="302"/>
      <c r="M37" s="302"/>
      <c r="N37" s="242">
        <f t="shared" si="6"/>
        <v>0</v>
      </c>
      <c r="S37" s="35" t="s">
        <v>1129</v>
      </c>
      <c r="T37" s="35" t="s">
        <v>1130</v>
      </c>
      <c r="U37" s="35" t="s">
        <v>1050</v>
      </c>
      <c r="V37" s="242" t="str">
        <f t="shared" si="7"/>
        <v>Unfilled fields to left</v>
      </c>
      <c r="X37" s="25"/>
      <c r="Y37" s="12"/>
    </row>
    <row r="38" spans="2:25">
      <c r="B38" s="186" t="s">
        <v>1177</v>
      </c>
      <c r="C38" s="184" t="s">
        <v>1055</v>
      </c>
      <c r="D38" s="179" t="s">
        <v>459</v>
      </c>
      <c r="E38" s="35"/>
      <c r="F38" s="21"/>
      <c r="G38" s="21"/>
      <c r="H38" s="20"/>
      <c r="I38" s="36"/>
      <c r="J38" s="300"/>
      <c r="K38" s="302"/>
      <c r="L38" s="302"/>
      <c r="M38" s="302"/>
      <c r="N38" s="242">
        <f t="shared" si="6"/>
        <v>0</v>
      </c>
      <c r="S38" s="35" t="s">
        <v>1129</v>
      </c>
      <c r="T38" s="35" t="s">
        <v>1130</v>
      </c>
      <c r="U38" s="35" t="s">
        <v>1050</v>
      </c>
      <c r="V38" s="242" t="str">
        <f t="shared" si="7"/>
        <v>Unfilled fields to left</v>
      </c>
      <c r="X38" s="25"/>
      <c r="Y38" s="12"/>
    </row>
    <row r="39" spans="2:25">
      <c r="B39" s="186" t="s">
        <v>1177</v>
      </c>
      <c r="C39" s="184"/>
      <c r="D39" s="179"/>
      <c r="E39" s="35"/>
      <c r="F39" s="21"/>
      <c r="G39" s="21"/>
      <c r="H39" s="20"/>
      <c r="I39" s="36"/>
      <c r="J39" s="300"/>
      <c r="K39" s="302"/>
      <c r="L39" s="302"/>
      <c r="M39" s="302"/>
      <c r="N39" s="242">
        <f t="shared" si="6"/>
        <v>0</v>
      </c>
      <c r="S39" s="35" t="s">
        <v>1129</v>
      </c>
      <c r="T39" s="35" t="s">
        <v>1130</v>
      </c>
      <c r="U39" s="35" t="s">
        <v>1050</v>
      </c>
      <c r="V39" s="242" t="str">
        <f t="shared" si="7"/>
        <v>Unfilled fields to left</v>
      </c>
      <c r="X39" s="25"/>
      <c r="Y39" s="12"/>
    </row>
    <row r="40" spans="2:25">
      <c r="B40" s="16"/>
      <c r="C40" s="15"/>
      <c r="D40" s="179"/>
      <c r="E40" s="35"/>
      <c r="F40" s="54"/>
      <c r="G40" s="21"/>
      <c r="H40" s="20"/>
      <c r="I40" s="36"/>
      <c r="J40" s="300"/>
      <c r="K40" s="302"/>
      <c r="L40" s="302"/>
      <c r="M40" s="302"/>
      <c r="N40" s="242">
        <f t="shared" si="6"/>
        <v>0</v>
      </c>
      <c r="S40" s="35" t="s">
        <v>1225</v>
      </c>
      <c r="T40" s="35" t="s">
        <v>1225</v>
      </c>
      <c r="U40" s="35"/>
      <c r="V40" s="242" t="str">
        <f t="shared" si="7"/>
        <v>Unfilled fields to left</v>
      </c>
      <c r="X40" s="25"/>
      <c r="Y40" s="12"/>
    </row>
    <row r="41" spans="2:25">
      <c r="B41" s="16"/>
      <c r="C41" s="15"/>
      <c r="D41" s="179"/>
      <c r="E41" s="35"/>
      <c r="F41" s="54"/>
      <c r="G41" s="21"/>
      <c r="H41" s="20"/>
      <c r="I41" s="36"/>
      <c r="J41" s="300"/>
      <c r="K41" s="302"/>
      <c r="L41" s="302"/>
      <c r="M41" s="302"/>
      <c r="N41" s="242">
        <f t="shared" si="6"/>
        <v>0</v>
      </c>
      <c r="S41" s="35" t="s">
        <v>1225</v>
      </c>
      <c r="T41" s="35" t="s">
        <v>1225</v>
      </c>
      <c r="U41" s="35"/>
      <c r="V41" s="242" t="str">
        <f t="shared" si="7"/>
        <v>Unfilled fields to left</v>
      </c>
      <c r="X41" s="25"/>
      <c r="Y41" s="12"/>
    </row>
    <row r="42" spans="2:25">
      <c r="B42" s="16"/>
      <c r="C42" s="15"/>
      <c r="D42" s="179"/>
      <c r="E42" s="35"/>
      <c r="F42" s="54"/>
      <c r="G42" s="21"/>
      <c r="H42" s="20"/>
      <c r="I42" s="36"/>
      <c r="J42" s="300"/>
      <c r="K42" s="302"/>
      <c r="L42" s="302"/>
      <c r="M42" s="302"/>
      <c r="N42" s="242">
        <f t="shared" si="6"/>
        <v>0</v>
      </c>
      <c r="S42" s="35" t="s">
        <v>1225</v>
      </c>
      <c r="T42" s="35" t="s">
        <v>1225</v>
      </c>
      <c r="U42" s="35"/>
      <c r="V42" s="242" t="str">
        <f t="shared" si="7"/>
        <v>Unfilled fields to left</v>
      </c>
      <c r="X42" s="25"/>
      <c r="Y42" s="12"/>
    </row>
    <row r="43" spans="2:25">
      <c r="B43" s="16"/>
      <c r="C43" s="15"/>
      <c r="D43" s="179"/>
      <c r="E43" s="35"/>
      <c r="F43" s="21"/>
      <c r="G43" s="21"/>
      <c r="H43" s="20"/>
      <c r="I43" s="36"/>
      <c r="J43" s="300"/>
      <c r="K43" s="302"/>
      <c r="L43" s="302"/>
      <c r="M43" s="302"/>
      <c r="N43" s="242">
        <f t="shared" si="6"/>
        <v>0</v>
      </c>
      <c r="S43" s="35" t="s">
        <v>1225</v>
      </c>
      <c r="T43" s="35" t="s">
        <v>1225</v>
      </c>
      <c r="U43" s="35"/>
      <c r="V43" s="242" t="str">
        <f t="shared" si="7"/>
        <v>Unfilled fields to left</v>
      </c>
      <c r="X43" s="25"/>
      <c r="Y43" s="12"/>
    </row>
    <row r="44" spans="2:25" s="14" customFormat="1">
      <c r="B44" s="68"/>
      <c r="C44" s="69"/>
      <c r="D44" s="69"/>
      <c r="E44" s="504"/>
      <c r="F44" s="70"/>
      <c r="G44" s="70"/>
      <c r="H44" s="70"/>
      <c r="I44" s="70"/>
      <c r="J44" s="142"/>
      <c r="K44" s="142"/>
      <c r="L44" s="87"/>
      <c r="M44" s="87"/>
      <c r="N44" s="73"/>
      <c r="O44" s="19"/>
      <c r="Q44" s="12"/>
      <c r="R44" s="12"/>
      <c r="S44" s="73"/>
      <c r="T44" s="73"/>
      <c r="U44" s="73"/>
      <c r="V44" s="73"/>
      <c r="X44" s="70"/>
    </row>
    <row r="45" spans="2:25" s="14" customFormat="1" ht="16.5">
      <c r="B45" s="145" t="s">
        <v>1131</v>
      </c>
      <c r="C45" s="159"/>
      <c r="D45" s="159"/>
      <c r="E45" s="499"/>
      <c r="F45" s="160"/>
      <c r="G45" s="161"/>
      <c r="H45" s="160"/>
      <c r="I45" s="160"/>
      <c r="J45" s="307"/>
      <c r="K45" s="307"/>
      <c r="L45" s="307"/>
      <c r="M45" s="307"/>
      <c r="N45" s="307"/>
      <c r="O45" s="307"/>
      <c r="P45" s="307"/>
      <c r="Q45" s="307"/>
      <c r="R45" s="307"/>
      <c r="S45" s="307"/>
      <c r="T45" s="307"/>
      <c r="U45" s="307"/>
      <c r="V45" s="153">
        <f>SUM(V46:V50)</f>
        <v>0</v>
      </c>
      <c r="X45" s="70"/>
    </row>
    <row r="46" spans="2:25" s="14" customFormat="1">
      <c r="B46" s="16" t="s">
        <v>1057</v>
      </c>
      <c r="C46" s="184" t="s">
        <v>1226</v>
      </c>
      <c r="D46" s="179" t="s">
        <v>459</v>
      </c>
      <c r="E46" s="35"/>
      <c r="F46" s="24"/>
      <c r="G46" s="21"/>
      <c r="H46" s="21"/>
      <c r="I46" s="21"/>
      <c r="J46" s="306"/>
      <c r="K46" s="306"/>
      <c r="L46" s="306"/>
      <c r="M46" s="306"/>
      <c r="N46" s="242">
        <f>IF($D46="MWh/yr (LHV)",$E46,$J46*$E46*(1-$L46)/Conversion_kWh_to_MJ)</f>
        <v>0</v>
      </c>
      <c r="O46" s="12"/>
      <c r="Q46" s="12"/>
      <c r="R46" s="12"/>
      <c r="S46" s="35">
        <v>0</v>
      </c>
      <c r="T46" s="518"/>
      <c r="U46" s="35" t="s">
        <v>1200</v>
      </c>
      <c r="V46" s="242" t="str">
        <f>IFERROR(IF(D46="tonnes/yr", $S46*$E46/($N$9*3.6), $T46*$E46*3.6/($N$9*3.6)), "Unfilled fields to left")</f>
        <v>Unfilled fields to left</v>
      </c>
      <c r="X46" s="21"/>
    </row>
    <row r="47" spans="2:25" s="14" customFormat="1">
      <c r="B47" s="16" t="s">
        <v>1057</v>
      </c>
      <c r="C47" s="184" t="s">
        <v>1211</v>
      </c>
      <c r="D47" s="179" t="s">
        <v>459</v>
      </c>
      <c r="E47" s="35"/>
      <c r="F47" s="63"/>
      <c r="G47" s="63"/>
      <c r="H47" s="63"/>
      <c r="I47" s="63"/>
      <c r="J47" s="304"/>
      <c r="K47" s="306"/>
      <c r="L47" s="306"/>
      <c r="M47" s="306"/>
      <c r="N47" s="242">
        <f>IF($D47="MWh/yr (LHV)",$E47,$J47*$E47*(1-$L47)/Conversion_kWh_to_MJ)</f>
        <v>0</v>
      </c>
      <c r="O47" s="12"/>
      <c r="Q47" s="12"/>
      <c r="R47" s="12"/>
      <c r="S47" s="35">
        <v>1000</v>
      </c>
      <c r="T47" s="518"/>
      <c r="U47" s="35" t="s">
        <v>1110</v>
      </c>
      <c r="V47" s="242" t="str">
        <f>IFERROR(IF(D47="tonnes/yr", $S47*$E47/($N$9*3.6), $T47*$E47*3.6/($N$9*3.6)), "Unfilled fields to left")</f>
        <v>Unfilled fields to left</v>
      </c>
      <c r="X47" s="21"/>
    </row>
    <row r="48" spans="2:25" s="14" customFormat="1">
      <c r="B48" s="64"/>
      <c r="C48" s="15"/>
      <c r="D48" s="179"/>
      <c r="E48" s="35"/>
      <c r="F48" s="21"/>
      <c r="G48" s="21"/>
      <c r="H48" s="63"/>
      <c r="I48" s="63"/>
      <c r="J48" s="304"/>
      <c r="K48" s="306"/>
      <c r="L48" s="306"/>
      <c r="M48" s="306"/>
      <c r="N48" s="242">
        <f>IF($D48="MWh/yr (LHV)",$E48,$J48*$E48*(1-$L48)/Conversion_kWh_to_MJ)</f>
        <v>0</v>
      </c>
      <c r="O48" s="19"/>
      <c r="Q48" s="12"/>
      <c r="R48" s="12"/>
      <c r="S48" s="308"/>
      <c r="T48" s="477"/>
      <c r="U48" s="302"/>
      <c r="V48" s="242" t="str">
        <f>IFERROR(IF(D48="tonnes/yr", $S48*$E48/($N$9*3.6), $T48*$E48*3.6/($N$9*3.6)), "Unfilled fields to left")</f>
        <v>Unfilled fields to left</v>
      </c>
      <c r="X48" s="65"/>
    </row>
    <row r="49" spans="2:25" s="14" customFormat="1">
      <c r="B49" s="64"/>
      <c r="C49" s="15"/>
      <c r="D49" s="179"/>
      <c r="E49" s="35"/>
      <c r="F49" s="21"/>
      <c r="G49" s="21"/>
      <c r="H49" s="21"/>
      <c r="I49" s="21"/>
      <c r="J49" s="306"/>
      <c r="K49" s="306"/>
      <c r="L49" s="306"/>
      <c r="M49" s="306"/>
      <c r="N49" s="242">
        <f>IF($D49="MWh/yr (LHV)",$E49,$J49*$E49*(1-$L49)/Conversion_kWh_to_MJ)</f>
        <v>0</v>
      </c>
      <c r="O49" s="19"/>
      <c r="Q49" s="12"/>
      <c r="R49" s="12"/>
      <c r="S49" s="308"/>
      <c r="T49" s="477"/>
      <c r="U49" s="302"/>
      <c r="V49" s="242" t="str">
        <f>IFERROR(IF(D49="tonnes/yr", $S49*$E49/($N$9*3.6), $T49*$E49*3.6/($N$9*3.6)), "Unfilled fields to left")</f>
        <v>Unfilled fields to left</v>
      </c>
      <c r="X49" s="65"/>
    </row>
    <row r="50" spans="2:25" s="14" customFormat="1">
      <c r="B50" s="64"/>
      <c r="C50" s="15"/>
      <c r="D50" s="179"/>
      <c r="E50" s="35"/>
      <c r="F50" s="21"/>
      <c r="G50" s="21"/>
      <c r="H50" s="21"/>
      <c r="I50" s="21"/>
      <c r="J50" s="306"/>
      <c r="K50" s="306"/>
      <c r="L50" s="306"/>
      <c r="M50" s="306"/>
      <c r="N50" s="242">
        <f>IF($D50="MWh/yr (LHV)",$E50,$J50*$E50*(1-$L50)/Conversion_kWh_to_MJ)</f>
        <v>0</v>
      </c>
      <c r="O50" s="19"/>
      <c r="Q50" s="12"/>
      <c r="R50" s="12"/>
      <c r="S50" s="308"/>
      <c r="T50" s="477"/>
      <c r="U50" s="302"/>
      <c r="V50" s="242" t="str">
        <f>IFERROR(IF(D50="tonnes/yr", $S50*$E50/($N$9*3.6), $T50*$E50*3.6/($N$9*3.6)), "Unfilled fields to left")</f>
        <v>Unfilled fields to left</v>
      </c>
      <c r="X50" s="65"/>
    </row>
    <row r="51" spans="2:25" s="14" customFormat="1">
      <c r="B51" s="68"/>
      <c r="C51" s="69"/>
      <c r="D51" s="69"/>
      <c r="E51" s="504"/>
      <c r="F51" s="70"/>
      <c r="G51" s="70"/>
      <c r="H51" s="70"/>
      <c r="I51" s="70"/>
      <c r="J51" s="142"/>
      <c r="K51" s="142"/>
      <c r="L51" s="87"/>
      <c r="M51" s="87"/>
      <c r="N51" s="73"/>
      <c r="O51" s="19"/>
      <c r="Q51" s="12"/>
      <c r="R51" s="12"/>
      <c r="S51" s="73"/>
      <c r="T51" s="73"/>
      <c r="U51" s="73"/>
      <c r="V51" s="73"/>
      <c r="X51" s="70"/>
    </row>
    <row r="52" spans="2:25" s="14" customFormat="1" ht="16.5">
      <c r="B52" s="145" t="s">
        <v>1060</v>
      </c>
      <c r="C52" s="159"/>
      <c r="D52" s="159"/>
      <c r="E52" s="499"/>
      <c r="F52" s="160"/>
      <c r="G52" s="161"/>
      <c r="H52" s="160"/>
      <c r="I52" s="160"/>
      <c r="J52" s="307"/>
      <c r="K52" s="307"/>
      <c r="L52" s="307"/>
      <c r="M52" s="307"/>
      <c r="N52" s="307"/>
      <c r="O52" s="307"/>
      <c r="P52" s="307"/>
      <c r="Q52" s="307"/>
      <c r="R52" s="307"/>
      <c r="S52" s="307"/>
      <c r="T52" s="307"/>
      <c r="U52" s="307"/>
      <c r="V52" s="153">
        <f>SUM(V53:V58)</f>
        <v>0</v>
      </c>
      <c r="X52" s="70"/>
    </row>
    <row r="53" spans="2:25">
      <c r="B53" s="186" t="s">
        <v>1021</v>
      </c>
      <c r="C53" s="184" t="s">
        <v>1061</v>
      </c>
      <c r="D53" s="179" t="s">
        <v>479</v>
      </c>
      <c r="E53" s="35"/>
      <c r="F53" s="24"/>
      <c r="G53" s="21"/>
      <c r="H53" s="20"/>
      <c r="I53" s="36"/>
      <c r="J53" s="303"/>
      <c r="K53" s="302"/>
      <c r="L53" s="306"/>
      <c r="M53" s="306"/>
      <c r="N53" s="242">
        <f t="shared" ref="N53:N58" si="8">IF($D53="MWh/yr (LHV)",$E53,$J53*$E53*(1-$L53)/Conversion_kWh_to_MJ)</f>
        <v>0</v>
      </c>
      <c r="S53" s="35" t="str">
        <f t="shared" ref="S53:S58" si="9">IF(B53="", "", IF(D53="MWh/yr (LHV)", "Use column to right", "Enter data here"))</f>
        <v>Use column to right</v>
      </c>
      <c r="T53" s="35" t="e">
        <f>IF(B53="", "", IF(D53="MWh/yr (LHV)", Initial_questions!$E$43*1/Conversion_kWh_to_MJ, "Use column to left"))</f>
        <v>#VALUE!</v>
      </c>
      <c r="U53" s="35" t="s">
        <v>1062</v>
      </c>
      <c r="V53" s="243" t="str">
        <f t="shared" ref="V53:V58" si="10">IFERROR(IF(D53="tonnes/yr", $S53*$E53/($N$9*3.6), $T53*$E53*3.6/($N$9*3.6)), "Unfilled fields to left")</f>
        <v>Unfilled fields to left</v>
      </c>
      <c r="X53" s="25"/>
      <c r="Y53" s="12"/>
    </row>
    <row r="54" spans="2:25">
      <c r="B54" s="186" t="s">
        <v>1021</v>
      </c>
      <c r="C54" s="184" t="s">
        <v>1063</v>
      </c>
      <c r="D54" s="179" t="s">
        <v>479</v>
      </c>
      <c r="E54" s="35"/>
      <c r="F54" s="24"/>
      <c r="G54" s="21"/>
      <c r="H54" s="20"/>
      <c r="I54" s="36"/>
      <c r="J54" s="300"/>
      <c r="K54" s="302"/>
      <c r="L54" s="306"/>
      <c r="M54" s="306"/>
      <c r="N54" s="242">
        <f t="shared" si="8"/>
        <v>0</v>
      </c>
      <c r="S54" s="35" t="str">
        <f t="shared" si="9"/>
        <v>Use column to right</v>
      </c>
      <c r="T54" s="35" t="e">
        <f>INDEX(Proj_grid_intensity_kWh,MATCH(Operations_year,Proj_grid_year,0))/Conversion_kWh_to_MJ</f>
        <v>#N/A</v>
      </c>
      <c r="U54" s="35" t="s">
        <v>1064</v>
      </c>
      <c r="V54" s="357" t="str">
        <f t="shared" si="10"/>
        <v>Unfilled fields to left</v>
      </c>
      <c r="X54" s="25"/>
      <c r="Y54" s="12"/>
    </row>
    <row r="55" spans="2:25">
      <c r="B55" s="186" t="s">
        <v>1021</v>
      </c>
      <c r="C55" s="184" t="s">
        <v>1065</v>
      </c>
      <c r="D55" s="179" t="s">
        <v>459</v>
      </c>
      <c r="E55" s="35"/>
      <c r="F55" s="24"/>
      <c r="G55" s="21"/>
      <c r="H55" s="20"/>
      <c r="I55" s="36"/>
      <c r="J55" s="300"/>
      <c r="K55" s="302"/>
      <c r="L55" s="306"/>
      <c r="M55" s="306"/>
      <c r="N55" s="242">
        <f t="shared" si="8"/>
        <v>0</v>
      </c>
      <c r="S55" s="35" t="str">
        <f t="shared" si="9"/>
        <v>Enter data here</v>
      </c>
      <c r="T55" s="35" t="str">
        <f>IF(B55="", "", IF(D55="MWh/yr (LHV)", "Enter data here", "Use column to left"))</f>
        <v>Use column to left</v>
      </c>
      <c r="U55" s="35" t="s">
        <v>1066</v>
      </c>
      <c r="V55" s="357" t="str">
        <f t="shared" si="10"/>
        <v>Unfilled fields to left</v>
      </c>
      <c r="X55" s="25"/>
      <c r="Y55" s="12"/>
    </row>
    <row r="56" spans="2:25" s="14" customFormat="1">
      <c r="B56" s="186" t="s">
        <v>1021</v>
      </c>
      <c r="C56" s="184" t="s">
        <v>1067</v>
      </c>
      <c r="D56" s="179" t="s">
        <v>459</v>
      </c>
      <c r="E56" s="35"/>
      <c r="F56" s="24"/>
      <c r="G56" s="21"/>
      <c r="H56" s="21"/>
      <c r="I56" s="21"/>
      <c r="J56" s="306"/>
      <c r="K56" s="306"/>
      <c r="L56" s="306"/>
      <c r="M56" s="306"/>
      <c r="N56" s="242">
        <f t="shared" si="8"/>
        <v>0</v>
      </c>
      <c r="O56" s="12"/>
      <c r="Q56" s="12"/>
      <c r="R56" s="12"/>
      <c r="S56" s="35" t="str">
        <f t="shared" si="9"/>
        <v>Enter data here</v>
      </c>
      <c r="T56" s="35" t="str">
        <f>IF(B56="", "", IF(D56="MWh/yr (LHV)", "Enter data here", "Use column to left"))</f>
        <v>Use column to left</v>
      </c>
      <c r="U56" s="35" t="s">
        <v>1066</v>
      </c>
      <c r="V56" s="357" t="str">
        <f t="shared" si="10"/>
        <v>Unfilled fields to left</v>
      </c>
      <c r="X56" s="21"/>
    </row>
    <row r="57" spans="2:25" s="14" customFormat="1">
      <c r="B57" s="186" t="s">
        <v>1021</v>
      </c>
      <c r="C57" s="184" t="s">
        <v>1068</v>
      </c>
      <c r="D57" s="179" t="s">
        <v>479</v>
      </c>
      <c r="E57" s="35"/>
      <c r="F57" s="24"/>
      <c r="G57" s="21"/>
      <c r="H57" s="21"/>
      <c r="I57" s="21"/>
      <c r="J57" s="306"/>
      <c r="K57" s="306"/>
      <c r="L57" s="306"/>
      <c r="M57" s="306"/>
      <c r="N57" s="242">
        <f t="shared" si="8"/>
        <v>0</v>
      </c>
      <c r="O57" s="12"/>
      <c r="Q57" s="12"/>
      <c r="R57" s="12"/>
      <c r="S57" s="35" t="str">
        <f t="shared" si="9"/>
        <v>Use column to right</v>
      </c>
      <c r="T57" s="35" t="e">
        <f>INDEX(Proj_grid_intensity_kWh,MATCH(Operations_year,Proj_grid_year,0))/Conversion_kWh_to_MJ</f>
        <v>#N/A</v>
      </c>
      <c r="U57" s="35" t="s">
        <v>1064</v>
      </c>
      <c r="V57" s="357" t="str">
        <f t="shared" si="10"/>
        <v>Unfilled fields to left</v>
      </c>
      <c r="X57" s="21"/>
    </row>
    <row r="58" spans="2:25" s="14" customFormat="1">
      <c r="B58" s="16"/>
      <c r="C58" s="15"/>
      <c r="D58" s="179"/>
      <c r="E58" s="35"/>
      <c r="F58" s="24"/>
      <c r="G58" s="21"/>
      <c r="H58" s="21"/>
      <c r="I58" s="21"/>
      <c r="J58" s="306"/>
      <c r="K58" s="306"/>
      <c r="L58" s="306"/>
      <c r="M58" s="306"/>
      <c r="N58" s="242">
        <f t="shared" si="8"/>
        <v>0</v>
      </c>
      <c r="O58" s="12"/>
      <c r="Q58" s="12"/>
      <c r="R58" s="12"/>
      <c r="S58" s="35" t="str">
        <f t="shared" si="9"/>
        <v/>
      </c>
      <c r="T58" s="35" t="str">
        <f>IF(B58="", "", IF(D58="MWh/yr (LHV)", "Enter data here", "Use column to left"))</f>
        <v/>
      </c>
      <c r="U58" s="35"/>
      <c r="V58" s="357" t="str">
        <f t="shared" si="10"/>
        <v>Unfilled fields to left</v>
      </c>
      <c r="X58" s="21"/>
    </row>
    <row r="59" spans="2:25" s="14" customFormat="1">
      <c r="B59" s="68"/>
      <c r="C59" s="69"/>
      <c r="D59" s="69"/>
      <c r="E59" s="142"/>
      <c r="F59" s="70"/>
      <c r="G59" s="70"/>
      <c r="H59" s="71"/>
      <c r="I59" s="71"/>
      <c r="J59" s="73"/>
      <c r="K59" s="73"/>
      <c r="L59" s="12"/>
      <c r="M59" s="12"/>
      <c r="N59" s="73"/>
      <c r="O59" s="12"/>
      <c r="Q59" s="12"/>
      <c r="R59" s="12"/>
      <c r="S59" s="73"/>
      <c r="T59" s="73"/>
      <c r="U59" s="73"/>
      <c r="V59" s="73"/>
      <c r="X59" s="70"/>
    </row>
    <row r="60" spans="2:25" s="14" customFormat="1" ht="16.5">
      <c r="B60" s="145" t="s">
        <v>1069</v>
      </c>
      <c r="C60" s="159"/>
      <c r="D60" s="159"/>
      <c r="E60" s="499"/>
      <c r="F60" s="160"/>
      <c r="G60" s="161"/>
      <c r="H60" s="160"/>
      <c r="I60" s="160"/>
      <c r="J60" s="307"/>
      <c r="K60" s="307"/>
      <c r="L60" s="307"/>
      <c r="M60" s="307"/>
      <c r="N60" s="307"/>
      <c r="O60" s="307"/>
      <c r="P60" s="307"/>
      <c r="Q60" s="307"/>
      <c r="R60" s="307"/>
      <c r="S60" s="307"/>
      <c r="T60" s="307"/>
      <c r="U60" s="307"/>
      <c r="V60" s="153">
        <f>SUM(V61:V65)</f>
        <v>0</v>
      </c>
      <c r="X60" s="70"/>
    </row>
    <row r="61" spans="2:25" s="14" customFormat="1">
      <c r="B61" s="186" t="s">
        <v>1070</v>
      </c>
      <c r="C61" s="184" t="s">
        <v>1212</v>
      </c>
      <c r="D61" s="179" t="s">
        <v>459</v>
      </c>
      <c r="E61" s="35">
        <f>E46*$E$80</f>
        <v>0</v>
      </c>
      <c r="F61" s="63"/>
      <c r="G61" s="63"/>
      <c r="H61" s="63"/>
      <c r="I61" s="63"/>
      <c r="J61" s="304"/>
      <c r="K61" s="306"/>
      <c r="L61" s="306"/>
      <c r="M61" s="306"/>
      <c r="N61" s="242">
        <f>IF($D61="MWh/yr (LHV)",$E61,$J61*$E61*(1-$L61)/Conversion_kWh_to_MJ)</f>
        <v>0</v>
      </c>
      <c r="O61" s="12"/>
      <c r="Q61" s="12"/>
      <c r="R61" s="12"/>
      <c r="S61" s="303">
        <v>-1000</v>
      </c>
      <c r="T61" s="477"/>
      <c r="U61" s="35" t="s">
        <v>1203</v>
      </c>
      <c r="V61" s="242" t="str">
        <f>IFERROR(IF(D61="tonnes/yr", $S61*$E61/($N$9*3.6), $T61*$E61*3.6/($N$9*3.6)), "Unfilled fields to left")</f>
        <v>Unfilled fields to left</v>
      </c>
      <c r="X61" s="21"/>
    </row>
    <row r="62" spans="2:25" s="14" customFormat="1">
      <c r="B62" s="187" t="s">
        <v>1070</v>
      </c>
      <c r="C62" s="184" t="s">
        <v>1133</v>
      </c>
      <c r="D62" s="179" t="s">
        <v>459</v>
      </c>
      <c r="E62" s="35">
        <f>E47*$E$80</f>
        <v>0</v>
      </c>
      <c r="F62" s="21"/>
      <c r="G62" s="21"/>
      <c r="H62" s="63"/>
      <c r="I62" s="63"/>
      <c r="J62" s="304"/>
      <c r="K62" s="306"/>
      <c r="L62" s="306"/>
      <c r="M62" s="306"/>
      <c r="N62" s="242">
        <f>IF($D62="MWh/yr (LHV)",$E62,$J62*$E62*(1-$L62)/Conversion_kWh_to_MJ)</f>
        <v>0</v>
      </c>
      <c r="O62" s="19"/>
      <c r="Q62" s="12"/>
      <c r="R62" s="12"/>
      <c r="S62" s="300">
        <v>-1000</v>
      </c>
      <c r="T62" s="477"/>
      <c r="U62" s="35" t="s">
        <v>1134</v>
      </c>
      <c r="V62" s="242" t="str">
        <f>IFERROR(IF(D62="tonnes/yr", $S62*$E62/($N$9*3.6), $T62*$E62*3.6/($N$9*3.6)), "Unfilled fields to left")</f>
        <v>Unfilled fields to left</v>
      </c>
      <c r="X62" s="65"/>
    </row>
    <row r="63" spans="2:25" s="14" customFormat="1">
      <c r="B63" s="64"/>
      <c r="C63" s="15"/>
      <c r="D63" s="179"/>
      <c r="E63" s="35"/>
      <c r="F63" s="21"/>
      <c r="G63" s="21"/>
      <c r="H63" s="21"/>
      <c r="I63" s="21"/>
      <c r="J63" s="306"/>
      <c r="K63" s="306"/>
      <c r="L63" s="306"/>
      <c r="M63" s="306"/>
      <c r="N63" s="242">
        <f>IF($D63="MWh/yr (LHV)",$E63,$J63*$E63*(1-$L63)/Conversion_kWh_to_MJ)</f>
        <v>0</v>
      </c>
      <c r="O63" s="19"/>
      <c r="Q63" s="12"/>
      <c r="R63" s="12"/>
      <c r="S63" s="308"/>
      <c r="T63" s="477"/>
      <c r="U63" s="302"/>
      <c r="V63" s="242" t="str">
        <f>IFERROR(IF(D63="tonnes/yr", $S63*$E63/($N$9*3.6), $T63*$E63*3.6/($N$9*3.6)), "Unfilled fields to left")</f>
        <v>Unfilled fields to left</v>
      </c>
      <c r="X63" s="65"/>
    </row>
    <row r="64" spans="2:25" s="14" customFormat="1">
      <c r="B64" s="64"/>
      <c r="C64" s="15"/>
      <c r="D64" s="179"/>
      <c r="E64" s="35"/>
      <c r="F64" s="21"/>
      <c r="G64" s="21"/>
      <c r="H64" s="21"/>
      <c r="I64" s="21"/>
      <c r="J64" s="306"/>
      <c r="K64" s="306"/>
      <c r="L64" s="306"/>
      <c r="M64" s="306"/>
      <c r="N64" s="242">
        <f>IF($D64="MWh/yr (LHV)",$E64,$J64*$E64*(1-$L64)/Conversion_kWh_to_MJ)</f>
        <v>0</v>
      </c>
      <c r="O64" s="19"/>
      <c r="Q64" s="12"/>
      <c r="R64" s="12"/>
      <c r="S64" s="308"/>
      <c r="T64" s="477"/>
      <c r="U64" s="302"/>
      <c r="V64" s="242" t="str">
        <f>IFERROR(IF(D64="tonnes/yr", $S64*$E64/($N$9*3.6), $T64*$E64*3.6/($N$9*3.6)), "Unfilled fields to left")</f>
        <v>Unfilled fields to left</v>
      </c>
      <c r="X64" s="65"/>
    </row>
    <row r="65" spans="2:25" s="14" customFormat="1">
      <c r="B65" s="64"/>
      <c r="C65" s="15"/>
      <c r="D65" s="179"/>
      <c r="E65" s="35"/>
      <c r="F65" s="21"/>
      <c r="G65" s="21"/>
      <c r="H65" s="21"/>
      <c r="I65" s="21"/>
      <c r="J65" s="306"/>
      <c r="K65" s="306"/>
      <c r="L65" s="306"/>
      <c r="M65" s="306"/>
      <c r="N65" s="242">
        <f>IF($D65="MWh/yr (LHV)",$E65,$J65*$E65*(1-$L65)/Conversion_kWh_to_MJ)</f>
        <v>0</v>
      </c>
      <c r="O65" s="19"/>
      <c r="Q65" s="12"/>
      <c r="R65" s="12"/>
      <c r="S65" s="308"/>
      <c r="T65" s="477"/>
      <c r="U65" s="302"/>
      <c r="V65" s="242" t="str">
        <f>IFERROR(IF(D65="tonnes/yr", $S65*$E65/($N$9*3.6), $T65*$E65*3.6/($N$9*3.6)), "Unfilled fields to left")</f>
        <v>Unfilled fields to left</v>
      </c>
      <c r="X65" s="65"/>
    </row>
    <row r="66" spans="2:25" s="14" customFormat="1">
      <c r="B66" s="68"/>
      <c r="C66" s="69"/>
      <c r="D66" s="69"/>
      <c r="E66" s="142"/>
      <c r="F66" s="70"/>
      <c r="G66" s="70"/>
      <c r="H66" s="71"/>
      <c r="I66" s="71"/>
      <c r="J66" s="73"/>
      <c r="K66" s="73"/>
      <c r="L66" s="19"/>
      <c r="M66" s="19"/>
      <c r="N66" s="73"/>
      <c r="O66" s="12"/>
      <c r="Q66" s="12"/>
      <c r="R66" s="12"/>
      <c r="S66" s="73"/>
      <c r="T66" s="73"/>
      <c r="U66" s="73"/>
      <c r="V66" s="73"/>
      <c r="X66" s="70"/>
    </row>
    <row r="67" spans="2:25" s="14" customFormat="1" ht="16.5">
      <c r="B67" s="145" t="s">
        <v>131</v>
      </c>
      <c r="C67" s="159"/>
      <c r="D67" s="159"/>
      <c r="E67" s="499"/>
      <c r="F67" s="160"/>
      <c r="G67" s="161"/>
      <c r="H67" s="160"/>
      <c r="I67" s="160"/>
      <c r="J67" s="307"/>
      <c r="K67" s="307"/>
      <c r="L67" s="307"/>
      <c r="M67" s="307"/>
      <c r="N67" s="307"/>
      <c r="O67" s="307"/>
      <c r="P67" s="307"/>
      <c r="Q67" s="307"/>
      <c r="R67" s="307"/>
      <c r="S67" s="307"/>
      <c r="T67" s="307"/>
      <c r="U67" s="307"/>
      <c r="V67" s="153">
        <f>SUM(V68:V75)</f>
        <v>0</v>
      </c>
      <c r="X67" s="70"/>
    </row>
    <row r="68" spans="2:25" s="14" customFormat="1">
      <c r="B68" s="186" t="s">
        <v>1072</v>
      </c>
      <c r="C68" s="184" t="s">
        <v>1073</v>
      </c>
      <c r="D68" s="179" t="s">
        <v>459</v>
      </c>
      <c r="E68" s="35"/>
      <c r="F68" s="21"/>
      <c r="G68" s="21"/>
      <c r="H68" s="21"/>
      <c r="I68" s="21"/>
      <c r="J68" s="306"/>
      <c r="K68" s="306"/>
      <c r="L68" s="306"/>
      <c r="M68" s="306"/>
      <c r="N68" s="242">
        <f t="shared" ref="N68:N75" si="11">IF($D68="MWh/yr (LHV)",$E68,$J68*$E68*(1-$L68)/Conversion_kWh_to_MJ)</f>
        <v>0</v>
      </c>
      <c r="O68" s="12"/>
      <c r="Q68" s="12"/>
      <c r="R68" s="12"/>
      <c r="S68" s="35">
        <v>28000</v>
      </c>
      <c r="T68" s="518"/>
      <c r="U68" s="35" t="s">
        <v>1059</v>
      </c>
      <c r="V68" s="242" t="str">
        <f t="shared" ref="V68:V75" si="12">IFERROR(IF(D68="tonnes/yr", $S68*$E68/($N$9*3.6), $T68*$E68*3.6/($N$9*3.6)), "Unfilled fields to left")</f>
        <v>Unfilled fields to left</v>
      </c>
      <c r="X68" s="21"/>
    </row>
    <row r="69" spans="2:25" s="14" customFormat="1">
      <c r="B69" s="187" t="s">
        <v>1074</v>
      </c>
      <c r="C69" s="184" t="s">
        <v>1075</v>
      </c>
      <c r="D69" s="179" t="s">
        <v>459</v>
      </c>
      <c r="E69" s="35"/>
      <c r="F69" s="65"/>
      <c r="G69" s="65"/>
      <c r="H69" s="66"/>
      <c r="I69" s="66"/>
      <c r="J69" s="308"/>
      <c r="K69" s="308"/>
      <c r="L69" s="306"/>
      <c r="M69" s="306"/>
      <c r="N69" s="242">
        <f t="shared" si="11"/>
        <v>0</v>
      </c>
      <c r="O69" s="19"/>
      <c r="Q69" s="12"/>
      <c r="R69" s="12"/>
      <c r="S69" s="35">
        <v>265000</v>
      </c>
      <c r="T69" s="518"/>
      <c r="U69" s="483" t="s">
        <v>1059</v>
      </c>
      <c r="V69" s="242" t="str">
        <f t="shared" si="12"/>
        <v>Unfilled fields to left</v>
      </c>
      <c r="X69" s="65"/>
    </row>
    <row r="70" spans="2:25" s="14" customFormat="1">
      <c r="B70" s="187" t="s">
        <v>1076</v>
      </c>
      <c r="C70" s="184" t="s">
        <v>1077</v>
      </c>
      <c r="D70" s="179" t="s">
        <v>459</v>
      </c>
      <c r="E70" s="35"/>
      <c r="F70" s="65"/>
      <c r="G70" s="65"/>
      <c r="H70" s="66"/>
      <c r="I70" s="66"/>
      <c r="J70" s="308"/>
      <c r="K70" s="308"/>
      <c r="L70" s="306"/>
      <c r="M70" s="306"/>
      <c r="N70" s="242">
        <f t="shared" si="11"/>
        <v>0</v>
      </c>
      <c r="O70" s="19"/>
      <c r="Q70" s="12"/>
      <c r="R70" s="19"/>
      <c r="S70" s="35">
        <v>23500000</v>
      </c>
      <c r="T70" s="518"/>
      <c r="U70" s="483" t="s">
        <v>1059</v>
      </c>
      <c r="V70" s="242" t="str">
        <f t="shared" si="12"/>
        <v>Unfilled fields to left</v>
      </c>
      <c r="X70" s="65"/>
    </row>
    <row r="71" spans="2:25" s="14" customFormat="1">
      <c r="B71" s="187" t="s">
        <v>1078</v>
      </c>
      <c r="C71" s="184" t="s">
        <v>1079</v>
      </c>
      <c r="D71" s="179" t="s">
        <v>459</v>
      </c>
      <c r="E71" s="35"/>
      <c r="F71" s="65"/>
      <c r="G71" s="65"/>
      <c r="H71" s="66"/>
      <c r="I71" s="66"/>
      <c r="J71" s="308"/>
      <c r="K71" s="308"/>
      <c r="L71" s="306"/>
      <c r="M71" s="306"/>
      <c r="N71" s="242">
        <f t="shared" si="11"/>
        <v>0</v>
      </c>
      <c r="O71" s="19"/>
      <c r="Q71" s="12"/>
      <c r="R71" s="19"/>
      <c r="S71" s="519" t="s">
        <v>1080</v>
      </c>
      <c r="T71" s="518"/>
      <c r="U71" s="483"/>
      <c r="V71" s="242" t="str">
        <f t="shared" si="12"/>
        <v>Unfilled fields to left</v>
      </c>
      <c r="X71" s="65"/>
    </row>
    <row r="72" spans="2:25" s="14" customFormat="1">
      <c r="B72" s="187" t="s">
        <v>1078</v>
      </c>
      <c r="C72" s="184" t="s">
        <v>1079</v>
      </c>
      <c r="D72" s="179" t="s">
        <v>459</v>
      </c>
      <c r="E72" s="35"/>
      <c r="F72" s="65"/>
      <c r="G72" s="65"/>
      <c r="H72" s="66"/>
      <c r="I72" s="66"/>
      <c r="J72" s="308"/>
      <c r="K72" s="308"/>
      <c r="L72" s="306"/>
      <c r="M72" s="306"/>
      <c r="N72" s="242">
        <f t="shared" si="11"/>
        <v>0</v>
      </c>
      <c r="O72" s="19"/>
      <c r="Q72" s="19"/>
      <c r="R72" s="19"/>
      <c r="S72" s="519" t="s">
        <v>1080</v>
      </c>
      <c r="T72" s="518"/>
      <c r="U72" s="483"/>
      <c r="V72" s="242" t="str">
        <f t="shared" si="12"/>
        <v>Unfilled fields to left</v>
      </c>
      <c r="X72" s="65"/>
    </row>
    <row r="73" spans="2:25" s="14" customFormat="1">
      <c r="B73" s="187" t="s">
        <v>1078</v>
      </c>
      <c r="C73" s="184" t="s">
        <v>1079</v>
      </c>
      <c r="D73" s="179" t="s">
        <v>459</v>
      </c>
      <c r="E73" s="35"/>
      <c r="F73" s="65"/>
      <c r="G73" s="65"/>
      <c r="H73" s="66"/>
      <c r="I73" s="66"/>
      <c r="J73" s="308"/>
      <c r="K73" s="308"/>
      <c r="L73" s="306"/>
      <c r="M73" s="306"/>
      <c r="N73" s="242">
        <f t="shared" si="11"/>
        <v>0</v>
      </c>
      <c r="O73" s="19"/>
      <c r="P73" s="12"/>
      <c r="Q73" s="12"/>
      <c r="R73" s="12"/>
      <c r="S73" s="519" t="s">
        <v>1080</v>
      </c>
      <c r="T73" s="518"/>
      <c r="U73" s="483"/>
      <c r="V73" s="242" t="str">
        <f t="shared" si="12"/>
        <v>Unfilled fields to left</v>
      </c>
      <c r="X73" s="65"/>
    </row>
    <row r="74" spans="2:25" s="14" customFormat="1">
      <c r="B74" s="64"/>
      <c r="C74" s="15"/>
      <c r="D74" s="180"/>
      <c r="E74" s="500"/>
      <c r="F74" s="65"/>
      <c r="G74" s="65"/>
      <c r="H74" s="66"/>
      <c r="I74" s="66"/>
      <c r="J74" s="308"/>
      <c r="K74" s="308"/>
      <c r="L74" s="306"/>
      <c r="M74" s="306"/>
      <c r="N74" s="242">
        <f t="shared" si="11"/>
        <v>0</v>
      </c>
      <c r="O74" s="19"/>
      <c r="P74" s="12"/>
      <c r="Q74" s="12"/>
      <c r="R74" s="12"/>
      <c r="S74" s="302"/>
      <c r="T74" s="477"/>
      <c r="U74" s="308"/>
      <c r="V74" s="242" t="str">
        <f t="shared" si="12"/>
        <v>Unfilled fields to left</v>
      </c>
      <c r="X74" s="65"/>
    </row>
    <row r="75" spans="2:25" s="14" customFormat="1">
      <c r="B75" s="64"/>
      <c r="C75" s="15"/>
      <c r="D75" s="180"/>
      <c r="E75" s="500"/>
      <c r="F75" s="65"/>
      <c r="G75" s="65"/>
      <c r="H75" s="66"/>
      <c r="I75" s="66"/>
      <c r="J75" s="308"/>
      <c r="K75" s="308"/>
      <c r="L75" s="306"/>
      <c r="M75" s="306"/>
      <c r="N75" s="242">
        <f t="shared" si="11"/>
        <v>0</v>
      </c>
      <c r="O75" s="19"/>
      <c r="P75" s="12"/>
      <c r="Q75" s="12"/>
      <c r="R75" s="12"/>
      <c r="S75" s="302"/>
      <c r="T75" s="477"/>
      <c r="U75" s="308"/>
      <c r="V75" s="242" t="str">
        <f t="shared" si="12"/>
        <v>Unfilled fields to left</v>
      </c>
      <c r="X75" s="65"/>
    </row>
    <row r="76" spans="2:25">
      <c r="C76" s="17"/>
      <c r="D76" s="17"/>
      <c r="E76" s="140"/>
      <c r="F76" s="17"/>
      <c r="H76" s="18"/>
      <c r="I76" s="18"/>
      <c r="J76" s="40"/>
      <c r="K76" s="40"/>
      <c r="L76" s="12"/>
      <c r="M76" s="12"/>
      <c r="N76" s="40"/>
      <c r="P76" s="12"/>
      <c r="S76" s="40"/>
      <c r="T76" s="40"/>
      <c r="U76" s="40"/>
      <c r="V76" s="40"/>
      <c r="Y76" s="12"/>
    </row>
    <row r="77" spans="2:25">
      <c r="E77" s="113"/>
      <c r="I77" s="12"/>
      <c r="J77" s="107"/>
      <c r="K77" s="107"/>
      <c r="L77" s="73"/>
      <c r="M77" s="73"/>
      <c r="N77" s="107"/>
      <c r="P77" s="12"/>
      <c r="S77" s="39"/>
      <c r="T77" s="39"/>
      <c r="U77" s="38" t="s">
        <v>1114</v>
      </c>
      <c r="V77" s="153">
        <f>IF(OR(COUNTIF(Initial_questions!$E$112,"Default"), COUNTIF(Initial_questions!$E$114:$E$115,"Default")),"Default data selected",SUM(V20,V33,V45,V52,V60,V67))</f>
        <v>0</v>
      </c>
      <c r="Y77" s="12"/>
    </row>
    <row r="78" spans="2:25">
      <c r="B78" s="145" t="s">
        <v>132</v>
      </c>
      <c r="C78" s="159"/>
      <c r="D78" s="159"/>
      <c r="E78" s="499"/>
      <c r="I78" s="12"/>
      <c r="J78" s="107"/>
      <c r="K78" s="107"/>
      <c r="L78" s="73"/>
      <c r="M78" s="73"/>
      <c r="N78" s="107"/>
      <c r="P78" s="12"/>
      <c r="S78" s="107"/>
      <c r="T78" s="107"/>
      <c r="U78" s="107"/>
      <c r="V78" s="12"/>
      <c r="Y78" s="12"/>
    </row>
    <row r="79" spans="2:25">
      <c r="B79" s="16" t="s">
        <v>1086</v>
      </c>
      <c r="C79" s="15" t="s">
        <v>1087</v>
      </c>
      <c r="D79" s="15" t="s">
        <v>1088</v>
      </c>
      <c r="E79" s="501"/>
      <c r="G79" s="19"/>
      <c r="H79" s="12"/>
      <c r="I79" s="12"/>
      <c r="J79" s="107"/>
      <c r="K79" s="107"/>
      <c r="L79" s="12"/>
      <c r="M79" s="12"/>
      <c r="N79" s="107"/>
      <c r="P79" s="12"/>
      <c r="S79" s="107"/>
      <c r="T79" s="107"/>
      <c r="U79" s="107"/>
      <c r="V79" s="12"/>
      <c r="X79" s="25"/>
      <c r="Y79" s="12"/>
    </row>
    <row r="80" spans="2:25">
      <c r="B80" s="16" t="s">
        <v>1091</v>
      </c>
      <c r="C80" s="15" t="s">
        <v>1136</v>
      </c>
      <c r="D80" s="15" t="s">
        <v>785</v>
      </c>
      <c r="E80" s="511">
        <f>Initial_questions!$E$102</f>
        <v>0</v>
      </c>
      <c r="I80" s="12"/>
      <c r="J80" s="107"/>
      <c r="K80" s="107"/>
      <c r="L80" s="12"/>
      <c r="M80" s="12"/>
      <c r="N80" s="107"/>
      <c r="P80" s="12"/>
      <c r="S80" s="107"/>
      <c r="T80" s="107"/>
      <c r="U80" s="107"/>
      <c r="V80" s="12"/>
      <c r="X80" s="25"/>
      <c r="Y80" s="12"/>
    </row>
    <row r="81" spans="2:25">
      <c r="B81" s="16"/>
      <c r="C81" s="15"/>
      <c r="D81" s="15"/>
      <c r="E81" s="511"/>
      <c r="I81" s="12"/>
      <c r="J81" s="107"/>
      <c r="K81" s="107"/>
      <c r="L81" s="12"/>
      <c r="M81" s="12"/>
      <c r="N81" s="107"/>
      <c r="P81" s="12"/>
      <c r="S81" s="107"/>
      <c r="T81" s="107"/>
      <c r="U81" s="107"/>
      <c r="V81" s="12"/>
      <c r="X81" s="25"/>
      <c r="Y81" s="12"/>
    </row>
    <row r="82" spans="2:25">
      <c r="B82" s="16"/>
      <c r="C82" s="15"/>
      <c r="D82" s="15"/>
      <c r="E82" s="501"/>
      <c r="H82" s="12"/>
      <c r="I82" s="12"/>
      <c r="J82" s="107"/>
      <c r="K82" s="107"/>
      <c r="L82" s="12"/>
      <c r="M82" s="12"/>
      <c r="N82" s="107"/>
      <c r="P82" s="12"/>
      <c r="S82" s="39"/>
      <c r="T82" s="39"/>
      <c r="U82" s="39"/>
      <c r="X82" s="25"/>
    </row>
    <row r="83" spans="2:25">
      <c r="E83" s="113"/>
      <c r="H83" s="12"/>
      <c r="I83" s="12"/>
      <c r="J83" s="107"/>
      <c r="K83" s="107"/>
      <c r="L83" s="142"/>
      <c r="M83" s="142"/>
      <c r="N83" s="107"/>
      <c r="P83" s="12"/>
      <c r="S83" s="39"/>
      <c r="T83" s="39"/>
      <c r="U83" s="39"/>
    </row>
    <row r="84" spans="2:25">
      <c r="E84" s="113"/>
      <c r="J84" s="39"/>
      <c r="K84" s="39"/>
      <c r="L84" s="12"/>
      <c r="M84" s="12"/>
      <c r="P84" s="12"/>
      <c r="S84" s="39"/>
      <c r="T84" s="39"/>
      <c r="U84" s="39"/>
    </row>
    <row r="85" spans="2:25">
      <c r="E85" s="113"/>
      <c r="J85" s="39"/>
      <c r="K85" s="39"/>
      <c r="L85" s="12"/>
      <c r="M85" s="12"/>
      <c r="P85" s="12"/>
      <c r="S85" s="39"/>
      <c r="T85" s="39"/>
      <c r="U85" s="39"/>
    </row>
    <row r="86" spans="2:25">
      <c r="E86" s="113"/>
      <c r="J86" s="39"/>
      <c r="K86" s="39"/>
      <c r="L86" s="12"/>
      <c r="M86" s="12"/>
      <c r="P86" s="12"/>
      <c r="S86" s="39"/>
      <c r="T86" s="39"/>
      <c r="U86" s="39"/>
    </row>
    <row r="87" spans="2:25">
      <c r="E87" s="113"/>
      <c r="J87" s="39"/>
      <c r="K87" s="39"/>
      <c r="L87" s="12"/>
      <c r="M87" s="12"/>
      <c r="P87" s="12"/>
      <c r="S87" s="39"/>
      <c r="T87" s="39"/>
      <c r="U87" s="39"/>
    </row>
    <row r="88" spans="2:25">
      <c r="E88" s="113"/>
      <c r="J88" s="39"/>
      <c r="K88" s="39"/>
      <c r="L88" s="12"/>
      <c r="M88" s="12"/>
      <c r="P88" s="12"/>
      <c r="S88" s="39"/>
      <c r="T88" s="39"/>
      <c r="U88" s="39"/>
    </row>
    <row r="89" spans="2:25">
      <c r="E89" s="113"/>
      <c r="J89" s="39"/>
      <c r="K89" s="39"/>
      <c r="L89" s="12"/>
      <c r="M89" s="12"/>
      <c r="P89" s="12"/>
      <c r="S89" s="39"/>
      <c r="T89" s="39"/>
      <c r="U89" s="39"/>
    </row>
    <row r="90" spans="2:25">
      <c r="E90" s="113"/>
      <c r="J90" s="39"/>
      <c r="K90" s="39"/>
      <c r="L90" s="12"/>
      <c r="M90" s="12"/>
      <c r="P90" s="12"/>
      <c r="S90" s="39"/>
      <c r="T90" s="39"/>
      <c r="U90" s="39"/>
    </row>
    <row r="91" spans="2:25">
      <c r="E91" s="113"/>
      <c r="J91" s="39"/>
      <c r="K91" s="39"/>
      <c r="L91" s="12"/>
      <c r="M91" s="12"/>
      <c r="P91" s="12"/>
      <c r="S91" s="39"/>
      <c r="T91" s="39"/>
      <c r="U91" s="39"/>
    </row>
    <row r="92" spans="2:25">
      <c r="E92" s="113"/>
      <c r="J92" s="39"/>
      <c r="K92" s="39"/>
      <c r="L92" s="12"/>
      <c r="M92" s="12"/>
      <c r="S92" s="39"/>
      <c r="T92" s="39"/>
      <c r="U92" s="39"/>
    </row>
    <row r="93" spans="2:25">
      <c r="E93" s="113"/>
      <c r="J93" s="39"/>
      <c r="K93" s="39"/>
      <c r="L93" s="12"/>
      <c r="M93" s="12"/>
      <c r="Q93" s="19"/>
      <c r="S93" s="39"/>
      <c r="T93" s="39"/>
      <c r="U93" s="39"/>
    </row>
    <row r="94" spans="2:25">
      <c r="E94" s="113"/>
      <c r="J94" s="39"/>
      <c r="K94" s="39"/>
      <c r="L94" s="12"/>
      <c r="M94" s="12"/>
      <c r="Q94" s="19"/>
      <c r="S94" s="39"/>
      <c r="T94" s="39"/>
      <c r="U94" s="39"/>
    </row>
    <row r="95" spans="2:25">
      <c r="E95" s="113"/>
      <c r="J95" s="39"/>
      <c r="K95" s="39"/>
      <c r="L95" s="12"/>
      <c r="M95" s="12"/>
      <c r="Q95" s="19"/>
      <c r="S95" s="39"/>
      <c r="T95" s="39"/>
      <c r="U95" s="39"/>
    </row>
    <row r="96" spans="2:25">
      <c r="E96" s="113"/>
      <c r="J96" s="39"/>
      <c r="K96" s="39"/>
      <c r="L96" s="12"/>
      <c r="M96" s="12"/>
      <c r="Q96" s="19"/>
      <c r="S96" s="39"/>
      <c r="T96" s="39"/>
      <c r="U96" s="39"/>
    </row>
    <row r="97" spans="5:21">
      <c r="E97" s="113"/>
      <c r="J97" s="39"/>
      <c r="K97" s="39"/>
      <c r="L97" s="12"/>
      <c r="M97" s="12"/>
      <c r="Q97" s="19"/>
      <c r="S97" s="39"/>
      <c r="T97" s="39"/>
      <c r="U97" s="39"/>
    </row>
    <row r="98" spans="5:21">
      <c r="E98" s="113"/>
      <c r="J98" s="39"/>
      <c r="K98" s="39"/>
      <c r="L98" s="12"/>
      <c r="M98" s="12"/>
      <c r="Q98" s="19"/>
      <c r="S98" s="39"/>
      <c r="T98" s="39"/>
      <c r="U98" s="39"/>
    </row>
    <row r="99" spans="5:21">
      <c r="E99" s="113"/>
      <c r="J99" s="39"/>
      <c r="K99" s="39"/>
      <c r="L99" s="12"/>
      <c r="M99" s="12"/>
      <c r="Q99" s="19"/>
      <c r="S99" s="39"/>
      <c r="T99" s="39"/>
      <c r="U99" s="39"/>
    </row>
    <row r="100" spans="5:21">
      <c r="E100" s="113"/>
      <c r="J100" s="39"/>
      <c r="K100" s="39"/>
      <c r="L100" s="12"/>
      <c r="M100" s="12"/>
      <c r="S100" s="39"/>
      <c r="T100" s="39"/>
      <c r="U100" s="39"/>
    </row>
    <row r="101" spans="5:21">
      <c r="E101" s="113"/>
      <c r="J101" s="39"/>
      <c r="K101" s="39"/>
      <c r="L101" s="107"/>
      <c r="M101" s="107"/>
      <c r="S101" s="39"/>
      <c r="T101" s="39"/>
      <c r="U101" s="39"/>
    </row>
    <row r="102" spans="5:21">
      <c r="E102" s="113"/>
      <c r="J102" s="39"/>
      <c r="K102" s="39"/>
      <c r="L102" s="107"/>
      <c r="M102" s="107"/>
      <c r="S102" s="39"/>
      <c r="T102" s="39"/>
      <c r="U102" s="39"/>
    </row>
    <row r="103" spans="5:21">
      <c r="E103" s="113"/>
      <c r="J103" s="39"/>
      <c r="K103" s="39"/>
      <c r="L103" s="107"/>
      <c r="M103" s="107"/>
      <c r="S103" s="39"/>
      <c r="T103" s="39"/>
      <c r="U103" s="39"/>
    </row>
    <row r="104" spans="5:21">
      <c r="E104" s="113"/>
      <c r="J104" s="39"/>
      <c r="K104" s="39"/>
      <c r="L104" s="107"/>
      <c r="M104" s="107"/>
      <c r="S104" s="39"/>
      <c r="T104" s="39"/>
      <c r="U104" s="39"/>
    </row>
    <row r="105" spans="5:21">
      <c r="E105" s="113"/>
      <c r="J105" s="39"/>
      <c r="K105" s="39"/>
      <c r="L105" s="107"/>
      <c r="M105" s="107"/>
      <c r="S105" s="39"/>
      <c r="T105" s="39"/>
      <c r="U105" s="39"/>
    </row>
    <row r="106" spans="5:21">
      <c r="E106" s="113"/>
      <c r="J106" s="39"/>
      <c r="K106" s="39"/>
      <c r="L106" s="107"/>
      <c r="M106" s="107"/>
      <c r="S106" s="39"/>
      <c r="T106" s="39"/>
      <c r="U106" s="39"/>
    </row>
    <row r="107" spans="5:21">
      <c r="E107" s="113"/>
      <c r="J107" s="39"/>
      <c r="K107" s="39"/>
      <c r="L107" s="107"/>
      <c r="M107" s="107"/>
      <c r="S107" s="39"/>
      <c r="T107" s="39"/>
      <c r="U107" s="39"/>
    </row>
    <row r="108" spans="5:21">
      <c r="E108" s="113"/>
      <c r="J108" s="39"/>
      <c r="K108" s="39"/>
      <c r="L108" s="107"/>
      <c r="M108" s="107"/>
      <c r="S108" s="39"/>
      <c r="T108" s="39"/>
      <c r="U108" s="39"/>
    </row>
    <row r="109" spans="5:21">
      <c r="E109" s="113"/>
      <c r="J109" s="39"/>
      <c r="K109" s="39"/>
      <c r="L109" s="107"/>
      <c r="M109" s="107"/>
      <c r="S109" s="39"/>
      <c r="T109" s="39"/>
      <c r="U109" s="39"/>
    </row>
    <row r="110" spans="5:21">
      <c r="E110" s="113"/>
      <c r="J110" s="39"/>
      <c r="K110" s="39"/>
      <c r="L110" s="107"/>
      <c r="M110" s="107"/>
      <c r="S110" s="39"/>
      <c r="T110" s="39"/>
      <c r="U110" s="39"/>
    </row>
    <row r="111" spans="5:21">
      <c r="E111" s="113"/>
      <c r="J111" s="39"/>
      <c r="K111" s="39"/>
      <c r="L111" s="39"/>
      <c r="M111" s="39"/>
      <c r="S111" s="39"/>
      <c r="T111" s="39"/>
      <c r="U111" s="39"/>
    </row>
    <row r="112" spans="5:21">
      <c r="E112" s="113"/>
      <c r="J112" s="39"/>
      <c r="K112" s="39"/>
      <c r="L112" s="39"/>
      <c r="M112" s="39"/>
      <c r="S112" s="39"/>
      <c r="T112" s="39"/>
      <c r="U112" s="39"/>
    </row>
    <row r="113" spans="5:21">
      <c r="E113" s="113"/>
      <c r="J113" s="39"/>
      <c r="K113" s="39"/>
      <c r="L113" s="39"/>
      <c r="M113" s="39"/>
      <c r="S113" s="39"/>
      <c r="T113" s="39"/>
      <c r="U113" s="39"/>
    </row>
    <row r="114" spans="5:21">
      <c r="E114" s="113"/>
      <c r="J114" s="39"/>
      <c r="K114" s="39"/>
      <c r="L114" s="39"/>
      <c r="M114" s="39"/>
      <c r="S114" s="39"/>
      <c r="T114" s="39"/>
      <c r="U114" s="39"/>
    </row>
    <row r="115" spans="5:21">
      <c r="E115" s="113"/>
      <c r="J115" s="39"/>
      <c r="K115" s="39"/>
      <c r="L115" s="39"/>
      <c r="M115" s="39"/>
      <c r="S115" s="39"/>
      <c r="T115" s="39"/>
      <c r="U115" s="39"/>
    </row>
    <row r="116" spans="5:21">
      <c r="E116" s="113"/>
      <c r="J116" s="39"/>
      <c r="K116" s="39"/>
      <c r="L116" s="39"/>
      <c r="M116" s="39"/>
      <c r="S116" s="39"/>
      <c r="T116" s="39"/>
      <c r="U116" s="39"/>
    </row>
    <row r="117" spans="5:21">
      <c r="E117" s="113"/>
      <c r="J117" s="39"/>
      <c r="K117" s="39"/>
      <c r="L117" s="39"/>
      <c r="M117" s="39"/>
      <c r="S117" s="39"/>
      <c r="T117" s="39"/>
      <c r="U117" s="39"/>
    </row>
    <row r="118" spans="5:21">
      <c r="E118" s="113"/>
      <c r="J118" s="39"/>
      <c r="K118" s="39"/>
      <c r="L118" s="39"/>
      <c r="M118" s="39"/>
      <c r="S118" s="39"/>
      <c r="T118" s="39"/>
      <c r="U118" s="39"/>
    </row>
    <row r="119" spans="5:21">
      <c r="E119" s="113"/>
      <c r="J119" s="39"/>
      <c r="K119" s="39"/>
      <c r="L119" s="39"/>
      <c r="M119" s="39"/>
      <c r="S119" s="39"/>
      <c r="T119" s="39"/>
      <c r="U119" s="39"/>
    </row>
    <row r="120" spans="5:21">
      <c r="E120" s="113"/>
      <c r="J120" s="39"/>
      <c r="K120" s="39"/>
      <c r="L120" s="39"/>
      <c r="M120" s="39"/>
      <c r="S120" s="39"/>
      <c r="T120" s="39"/>
      <c r="U120" s="39"/>
    </row>
    <row r="121" spans="5:21">
      <c r="E121" s="113"/>
      <c r="J121" s="39"/>
      <c r="K121" s="39"/>
      <c r="L121" s="39"/>
      <c r="M121" s="39"/>
      <c r="S121" s="39"/>
      <c r="T121" s="39"/>
      <c r="U121" s="39"/>
    </row>
    <row r="122" spans="5:21">
      <c r="E122" s="113"/>
      <c r="J122" s="39"/>
      <c r="K122" s="39"/>
      <c r="L122" s="39"/>
      <c r="M122" s="39"/>
      <c r="S122" s="39"/>
      <c r="T122" s="39"/>
      <c r="U122" s="39"/>
    </row>
    <row r="123" spans="5:21">
      <c r="E123" s="113"/>
      <c r="L123" s="39"/>
      <c r="M123" s="39"/>
      <c r="S123" s="39"/>
      <c r="T123" s="39"/>
      <c r="U123" s="39"/>
    </row>
    <row r="124" spans="5:21">
      <c r="E124" s="113"/>
      <c r="L124" s="39"/>
      <c r="M124" s="39"/>
      <c r="S124" s="39"/>
      <c r="T124" s="39"/>
      <c r="U124" s="39"/>
    </row>
    <row r="125" spans="5:21">
      <c r="E125" s="113"/>
      <c r="L125" s="39"/>
      <c r="M125" s="39"/>
      <c r="S125" s="39"/>
      <c r="T125" s="39"/>
      <c r="U125" s="39"/>
    </row>
    <row r="126" spans="5:21">
      <c r="E126" s="113"/>
      <c r="L126" s="39"/>
      <c r="M126" s="39"/>
      <c r="S126" s="39"/>
      <c r="T126" s="39"/>
      <c r="U126" s="39"/>
    </row>
    <row r="127" spans="5:21">
      <c r="E127" s="113"/>
      <c r="S127" s="39"/>
      <c r="T127" s="39"/>
      <c r="U127" s="39"/>
    </row>
    <row r="128" spans="5:21">
      <c r="E128" s="113"/>
      <c r="S128" s="39"/>
      <c r="T128" s="39"/>
      <c r="U128" s="39"/>
    </row>
    <row r="129" spans="5:21">
      <c r="E129" s="113"/>
      <c r="S129" s="39"/>
      <c r="T129" s="39"/>
      <c r="U129" s="39"/>
    </row>
    <row r="130" spans="5:21">
      <c r="E130" s="113"/>
      <c r="S130" s="39"/>
      <c r="T130" s="39"/>
      <c r="U130" s="39"/>
    </row>
    <row r="131" spans="5:21">
      <c r="E131" s="113"/>
      <c r="S131" s="39"/>
      <c r="T131" s="39"/>
      <c r="U131" s="39"/>
    </row>
    <row r="132" spans="5:21">
      <c r="E132" s="113"/>
      <c r="S132" s="39"/>
      <c r="T132" s="39"/>
      <c r="U132" s="39"/>
    </row>
    <row r="133" spans="5:21">
      <c r="E133" s="113"/>
      <c r="S133" s="39"/>
      <c r="T133" s="39"/>
      <c r="U133" s="39"/>
    </row>
    <row r="134" spans="5:21">
      <c r="E134" s="113"/>
      <c r="S134" s="39"/>
      <c r="T134" s="39"/>
      <c r="U134" s="39"/>
    </row>
    <row r="135" spans="5:21">
      <c r="E135" s="113"/>
      <c r="S135" s="39"/>
      <c r="T135" s="39"/>
      <c r="U135" s="39"/>
    </row>
    <row r="136" spans="5:21">
      <c r="E136" s="113"/>
      <c r="S136" s="39"/>
      <c r="T136" s="39"/>
      <c r="U136" s="39"/>
    </row>
    <row r="137" spans="5:21">
      <c r="E137" s="113"/>
      <c r="S137" s="39"/>
      <c r="T137" s="39"/>
      <c r="U137" s="39"/>
    </row>
    <row r="138" spans="5:21">
      <c r="E138" s="113"/>
      <c r="S138" s="39"/>
      <c r="T138" s="39"/>
      <c r="U138" s="39"/>
    </row>
    <row r="139" spans="5:21">
      <c r="E139" s="113"/>
      <c r="S139" s="39"/>
      <c r="T139" s="39"/>
      <c r="U139" s="39"/>
    </row>
    <row r="140" spans="5:21">
      <c r="E140" s="113"/>
      <c r="S140" s="39"/>
      <c r="T140" s="39"/>
      <c r="U140" s="39"/>
    </row>
    <row r="141" spans="5:21">
      <c r="E141" s="113"/>
      <c r="S141" s="39"/>
      <c r="T141" s="39"/>
      <c r="U141" s="39"/>
    </row>
    <row r="142" spans="5:21">
      <c r="E142" s="113"/>
      <c r="S142" s="39"/>
      <c r="T142" s="39"/>
      <c r="U142" s="39"/>
    </row>
    <row r="143" spans="5:21">
      <c r="E143" s="113"/>
      <c r="S143" s="39"/>
      <c r="T143" s="39"/>
      <c r="U143" s="39"/>
    </row>
    <row r="144" spans="5:21">
      <c r="E144" s="113"/>
      <c r="S144" s="39"/>
      <c r="T144" s="39"/>
      <c r="U144" s="39"/>
    </row>
    <row r="145" spans="5:21">
      <c r="E145" s="113"/>
      <c r="S145" s="39"/>
      <c r="T145" s="39"/>
      <c r="U145" s="39"/>
    </row>
    <row r="146" spans="5:21">
      <c r="E146" s="113"/>
      <c r="S146" s="39"/>
      <c r="T146" s="39"/>
      <c r="U146" s="39"/>
    </row>
    <row r="147" spans="5:21">
      <c r="E147" s="113"/>
      <c r="S147" s="39"/>
      <c r="T147" s="39"/>
      <c r="U147" s="39"/>
    </row>
    <row r="148" spans="5:21">
      <c r="E148" s="256"/>
      <c r="S148" s="39"/>
      <c r="T148" s="39"/>
      <c r="U148" s="39"/>
    </row>
    <row r="149" spans="5:21">
      <c r="E149" s="256"/>
      <c r="S149" s="39"/>
      <c r="T149" s="39"/>
      <c r="U149" s="39"/>
    </row>
    <row r="150" spans="5:21">
      <c r="E150" s="256"/>
      <c r="S150" s="39"/>
      <c r="T150" s="39"/>
      <c r="U150" s="39"/>
    </row>
    <row r="151" spans="5:21">
      <c r="E151" s="256"/>
      <c r="S151" s="39"/>
      <c r="T151" s="39"/>
      <c r="U151" s="39"/>
    </row>
    <row r="152" spans="5:21">
      <c r="E152" s="256"/>
      <c r="S152" s="39"/>
      <c r="T152" s="39"/>
      <c r="U152" s="39"/>
    </row>
    <row r="153" spans="5:21">
      <c r="E153" s="256"/>
      <c r="S153" s="39"/>
      <c r="T153" s="39"/>
      <c r="U153" s="39"/>
    </row>
    <row r="154" spans="5:21">
      <c r="E154" s="256"/>
      <c r="S154" s="39"/>
      <c r="T154" s="39"/>
      <c r="U154" s="39"/>
    </row>
    <row r="155" spans="5:21">
      <c r="E155" s="256"/>
      <c r="S155" s="39"/>
      <c r="T155" s="39"/>
      <c r="U155" s="39"/>
    </row>
    <row r="156" spans="5:21">
      <c r="E156" s="256"/>
      <c r="S156" s="39"/>
      <c r="T156" s="39"/>
      <c r="U156" s="39"/>
    </row>
    <row r="157" spans="5:21">
      <c r="E157" s="256"/>
      <c r="S157" s="39"/>
      <c r="T157" s="39"/>
      <c r="U157" s="39"/>
    </row>
    <row r="158" spans="5:21">
      <c r="E158" s="256"/>
      <c r="S158" s="39"/>
      <c r="T158" s="39"/>
      <c r="U158" s="39"/>
    </row>
    <row r="159" spans="5:21">
      <c r="E159" s="256"/>
      <c r="S159" s="39"/>
      <c r="T159" s="39"/>
      <c r="U159" s="39"/>
    </row>
    <row r="160" spans="5:21">
      <c r="E160" s="256"/>
      <c r="S160" s="39"/>
      <c r="T160" s="39"/>
      <c r="U160" s="39"/>
    </row>
    <row r="161" spans="5:21">
      <c r="E161" s="256"/>
      <c r="S161" s="39"/>
      <c r="T161" s="39"/>
      <c r="U161" s="39"/>
    </row>
    <row r="162" spans="5:21">
      <c r="E162" s="256"/>
      <c r="S162" s="39"/>
      <c r="T162" s="39"/>
      <c r="U162" s="39"/>
    </row>
    <row r="163" spans="5:21">
      <c r="E163" s="256"/>
      <c r="S163" s="39"/>
      <c r="T163" s="39"/>
      <c r="U163" s="39"/>
    </row>
    <row r="164" spans="5:21">
      <c r="E164" s="256"/>
      <c r="S164" s="39"/>
      <c r="T164" s="39"/>
      <c r="U164" s="39"/>
    </row>
    <row r="165" spans="5:21">
      <c r="E165" s="256"/>
      <c r="S165" s="39"/>
      <c r="T165" s="39"/>
      <c r="U165" s="39"/>
    </row>
    <row r="166" spans="5:21">
      <c r="E166" s="256"/>
      <c r="S166" s="39"/>
      <c r="T166" s="39"/>
      <c r="U166" s="39"/>
    </row>
    <row r="167" spans="5:21">
      <c r="E167" s="256"/>
      <c r="S167" s="39"/>
      <c r="T167" s="39"/>
      <c r="U167" s="39"/>
    </row>
    <row r="168" spans="5:21">
      <c r="E168" s="256"/>
      <c r="S168" s="39"/>
      <c r="T168" s="39"/>
      <c r="U168" s="39"/>
    </row>
    <row r="169" spans="5:21">
      <c r="E169" s="256"/>
      <c r="S169" s="39"/>
      <c r="T169" s="39"/>
      <c r="U169" s="39"/>
    </row>
    <row r="170" spans="5:21">
      <c r="E170" s="256"/>
      <c r="S170" s="39"/>
      <c r="T170" s="39"/>
      <c r="U170" s="39"/>
    </row>
    <row r="171" spans="5:21">
      <c r="E171" s="256"/>
      <c r="S171" s="39"/>
      <c r="T171" s="39"/>
      <c r="U171" s="39"/>
    </row>
    <row r="172" spans="5:21">
      <c r="E172" s="256"/>
      <c r="S172" s="39"/>
      <c r="T172" s="39"/>
      <c r="U172" s="39"/>
    </row>
    <row r="173" spans="5:21">
      <c r="E173" s="256"/>
      <c r="S173" s="39"/>
      <c r="T173" s="39"/>
      <c r="U173" s="39"/>
    </row>
    <row r="174" spans="5:21">
      <c r="E174" s="256"/>
      <c r="S174" s="39"/>
      <c r="T174" s="39"/>
      <c r="U174" s="39"/>
    </row>
    <row r="175" spans="5:21">
      <c r="E175" s="256"/>
      <c r="S175" s="39"/>
      <c r="T175" s="39"/>
      <c r="U175" s="39"/>
    </row>
    <row r="176" spans="5:21">
      <c r="E176" s="256"/>
      <c r="S176" s="39"/>
      <c r="T176" s="39"/>
      <c r="U176" s="39"/>
    </row>
    <row r="177" spans="5:21">
      <c r="E177" s="256"/>
      <c r="S177" s="39"/>
      <c r="T177" s="39"/>
      <c r="U177" s="39"/>
    </row>
    <row r="178" spans="5:21">
      <c r="E178" s="256"/>
      <c r="S178" s="39"/>
      <c r="T178" s="39"/>
      <c r="U178" s="39"/>
    </row>
    <row r="179" spans="5:21">
      <c r="E179" s="256"/>
      <c r="S179" s="39"/>
      <c r="T179" s="39"/>
      <c r="U179" s="39"/>
    </row>
    <row r="180" spans="5:21">
      <c r="E180" s="256"/>
      <c r="S180" s="39"/>
      <c r="T180" s="39"/>
      <c r="U180" s="39"/>
    </row>
    <row r="181" spans="5:21">
      <c r="E181" s="256"/>
      <c r="S181" s="39"/>
      <c r="T181" s="39"/>
      <c r="U181" s="39"/>
    </row>
    <row r="182" spans="5:21">
      <c r="E182" s="256"/>
      <c r="S182" s="39"/>
      <c r="T182" s="39"/>
      <c r="U182" s="39"/>
    </row>
    <row r="183" spans="5:21">
      <c r="E183" s="256"/>
      <c r="S183" s="39"/>
      <c r="T183" s="39"/>
      <c r="U183" s="39"/>
    </row>
    <row r="184" spans="5:21">
      <c r="E184" s="256"/>
      <c r="S184" s="39"/>
      <c r="T184" s="39"/>
      <c r="U184" s="39"/>
    </row>
    <row r="185" spans="5:21">
      <c r="E185" s="256"/>
      <c r="S185" s="39"/>
      <c r="T185" s="39"/>
      <c r="U185" s="39"/>
    </row>
    <row r="186" spans="5:21">
      <c r="E186" s="256"/>
      <c r="S186" s="39"/>
      <c r="T186" s="39"/>
      <c r="U186" s="39"/>
    </row>
    <row r="187" spans="5:21">
      <c r="E187" s="256"/>
      <c r="S187" s="39"/>
      <c r="T187" s="39"/>
      <c r="U187" s="39"/>
    </row>
    <row r="188" spans="5:21">
      <c r="E188" s="256"/>
      <c r="S188" s="39"/>
      <c r="T188" s="39"/>
      <c r="U188" s="39"/>
    </row>
    <row r="189" spans="5:21">
      <c r="E189" s="256"/>
      <c r="S189" s="39"/>
      <c r="T189" s="39"/>
      <c r="U189" s="39"/>
    </row>
    <row r="190" spans="5:21">
      <c r="E190" s="256"/>
    </row>
    <row r="191" spans="5:21">
      <c r="E191" s="256"/>
    </row>
    <row r="192" spans="5:21">
      <c r="E192" s="256"/>
    </row>
    <row r="193" spans="5:5">
      <c r="E193" s="256"/>
    </row>
    <row r="194" spans="5:5">
      <c r="E194" s="256"/>
    </row>
    <row r="195" spans="5:5">
      <c r="E195" s="256"/>
    </row>
    <row r="196" spans="5:5">
      <c r="E196" s="256"/>
    </row>
    <row r="197" spans="5:5">
      <c r="E197" s="256"/>
    </row>
    <row r="198" spans="5:5">
      <c r="E198" s="256"/>
    </row>
    <row r="199" spans="5:5">
      <c r="E199" s="256"/>
    </row>
    <row r="200" spans="5:5">
      <c r="E200" s="256"/>
    </row>
    <row r="201" spans="5:5">
      <c r="E201" s="256"/>
    </row>
    <row r="202" spans="5:5">
      <c r="E202" s="256"/>
    </row>
    <row r="203" spans="5:5">
      <c r="E203" s="256"/>
    </row>
    <row r="204" spans="5:5">
      <c r="E204" s="256"/>
    </row>
    <row r="205" spans="5:5">
      <c r="E205" s="256"/>
    </row>
    <row r="206" spans="5:5">
      <c r="E206" s="256"/>
    </row>
    <row r="207" spans="5:5">
      <c r="E207" s="256"/>
    </row>
    <row r="208" spans="5:5">
      <c r="E208" s="256"/>
    </row>
    <row r="209" spans="5:5">
      <c r="E209" s="256"/>
    </row>
    <row r="210" spans="5:5">
      <c r="E210" s="256"/>
    </row>
    <row r="211" spans="5:5">
      <c r="E211" s="256"/>
    </row>
    <row r="212" spans="5:5">
      <c r="E212" s="256"/>
    </row>
    <row r="213" spans="5:5">
      <c r="E213" s="256"/>
    </row>
    <row r="214" spans="5:5">
      <c r="E214" s="256"/>
    </row>
    <row r="215" spans="5:5">
      <c r="E215" s="256"/>
    </row>
    <row r="216" spans="5:5">
      <c r="E216" s="256"/>
    </row>
    <row r="217" spans="5:5">
      <c r="E217" s="256"/>
    </row>
    <row r="218" spans="5:5">
      <c r="E218" s="256"/>
    </row>
    <row r="219" spans="5:5">
      <c r="E219" s="256"/>
    </row>
    <row r="220" spans="5:5">
      <c r="E220" s="256"/>
    </row>
    <row r="221" spans="5:5">
      <c r="E221" s="256"/>
    </row>
    <row r="222" spans="5:5">
      <c r="E222" s="256"/>
    </row>
    <row r="223" spans="5:5">
      <c r="E223" s="256"/>
    </row>
    <row r="224" spans="5:5">
      <c r="E224" s="256"/>
    </row>
    <row r="225" spans="5:5">
      <c r="E225" s="256"/>
    </row>
    <row r="226" spans="5:5">
      <c r="E226" s="256"/>
    </row>
    <row r="227" spans="5:5">
      <c r="E227" s="256"/>
    </row>
    <row r="228" spans="5:5">
      <c r="E228" s="256"/>
    </row>
    <row r="229" spans="5:5">
      <c r="E229" s="256"/>
    </row>
    <row r="230" spans="5:5">
      <c r="E230" s="256"/>
    </row>
    <row r="231" spans="5:5">
      <c r="E231" s="256"/>
    </row>
    <row r="232" spans="5:5">
      <c r="E232" s="256"/>
    </row>
    <row r="233" spans="5:5">
      <c r="E233" s="256"/>
    </row>
    <row r="234" spans="5:5">
      <c r="E234" s="256"/>
    </row>
    <row r="235" spans="5:5">
      <c r="E235" s="256"/>
    </row>
    <row r="236" spans="5:5">
      <c r="E236" s="256"/>
    </row>
    <row r="237" spans="5:5">
      <c r="E237" s="256"/>
    </row>
    <row r="238" spans="5:5">
      <c r="E238" s="256"/>
    </row>
    <row r="239" spans="5:5">
      <c r="E239" s="256"/>
    </row>
    <row r="240" spans="5:5">
      <c r="E240" s="256"/>
    </row>
    <row r="241" spans="5:5">
      <c r="E241" s="256"/>
    </row>
    <row r="242" spans="5:5">
      <c r="E242" s="256"/>
    </row>
    <row r="243" spans="5:5">
      <c r="E243" s="256"/>
    </row>
    <row r="244" spans="5:5">
      <c r="E244" s="256"/>
    </row>
    <row r="245" spans="5:5">
      <c r="E245" s="256"/>
    </row>
    <row r="246" spans="5:5">
      <c r="E246" s="256"/>
    </row>
  </sheetData>
  <customSheetViews>
    <customSheetView guid="{2D920366-22B2-4182-A65D-0EDBE614FB37}" showGridLines="0">
      <pane xSplit="3" ySplit="5" topLeftCell="D6" activePane="bottomRight" state="frozen"/>
      <selection pane="bottomRight"/>
      <pageMargins left="0" right="0" top="0" bottom="0" header="0" footer="0"/>
    </customSheetView>
    <customSheetView guid="{F468A2FD-7987-4A9D-8BAE-1AACE523607F}" showGridLines="0" state="hidden">
      <pane xSplit="3" ySplit="5" topLeftCell="D6" activePane="bottomRight" state="frozen"/>
      <selection pane="bottomRight" activeCell="D1" sqref="D1"/>
      <pageMargins left="0" right="0" top="0" bottom="0" header="0" footer="0"/>
    </customSheetView>
    <customSheetView guid="{D97B1299-69D0-4EE0-B673-CCF74742F96B}" state="hidden">
      <selection activeCell="I2" sqref="I2:K2"/>
      <pageMargins left="0" right="0" top="0" bottom="0" header="0" footer="0"/>
    </customSheetView>
    <customSheetView guid="{3F0A4FBA-5323-448F-A023-B3E14C54064C}" showGridLines="0" state="hidden">
      <pane xSplit="3" ySplit="5" topLeftCell="H6" activePane="bottomRight" state="frozen"/>
      <selection pane="bottomRight" activeCell="D2" sqref="D2"/>
      <pageMargins left="0" right="0" top="0" bottom="0" header="0" footer="0"/>
    </customSheetView>
    <customSheetView guid="{E6EFD927-84B2-4D06-BB59-59D9DF522DA2}" showGridLines="0">
      <pane xSplit="3" ySplit="5" topLeftCell="D6" activePane="bottomRight" state="frozen"/>
      <selection pane="bottomRight" activeCell="D1" sqref="D1"/>
      <pageMargins left="0" right="0" top="0" bottom="0" header="0" footer="0"/>
    </customSheetView>
    <customSheetView guid="{0E935136-9A80-44B6-88D5-61E64D742049}" showGridLines="0" state="hidden">
      <pane xSplit="3" ySplit="5" topLeftCell="D6" activePane="bottomRight" state="frozen"/>
      <selection pane="bottomRight" activeCell="D1" sqref="D1"/>
      <pageMargins left="0" right="0" top="0" bottom="0" header="0" footer="0"/>
    </customSheetView>
    <customSheetView guid="{1C16EB38-F785-4168-9938-104594734038}" showGridLines="0" state="hidden">
      <pane xSplit="3" ySplit="5" topLeftCell="D6" activePane="bottomRight" state="frozen"/>
      <selection pane="bottomRight" activeCell="D1" sqref="D1"/>
      <pageMargins left="0" right="0" top="0" bottom="0" header="0" footer="0"/>
    </customSheetView>
    <customSheetView guid="{EECBF9DF-6D77-4263-85DA-71E40216BADD}" showGridLines="0" state="hidden">
      <pane xSplit="3" ySplit="5" topLeftCell="D6" activePane="bottomRight" state="frozen"/>
      <selection pane="bottomRight" activeCell="D1" sqref="D1"/>
      <pageMargins left="0" right="0" top="0" bottom="0" header="0" footer="0"/>
    </customSheetView>
    <customSheetView guid="{F03309BC-D3FA-4CF2-833B-D6D9A95FE1FB}" showGridLines="0" state="hidden">
      <pane xSplit="3" ySplit="5" topLeftCell="H6" activePane="bottomRight" state="frozen"/>
      <selection pane="bottomRight" activeCell="D2" sqref="D2"/>
      <pageMargins left="0" right="0" top="0" bottom="0" header="0" footer="0"/>
    </customSheetView>
  </customSheetViews>
  <mergeCells count="1">
    <mergeCell ref="I2:K2"/>
  </mergeCells>
  <dataValidations count="5">
    <dataValidation type="list" allowBlank="1" showInputMessage="1" showErrorMessage="1" sqref="D20:D30 D61:D65 D46:D51 D53:D58 D68:D75 D34:D44 D8 D10:D17" xr:uid="{B6CD8565-D0A8-4851-9D08-6AE0AB038D35}">
      <formula1>Flow_units</formula1>
    </dataValidation>
    <dataValidation type="custom" allowBlank="1" showInputMessage="1" showErrorMessage="1" error="Please do not change this formula" prompt="Please do not change this formula" sqref="W4 V6:V1048576 V1:V4 P4 P33:R33 Q1:R4 Q68:R1048576 P20 Q14:R32 P67:R67 Q53:R59 P60:R60 Q61:R66 P52:R52 P45:R45 Q46:R51 O6:O1048576 Q34:R44 Q6:Q13 R6:R8 N1:N1048576 O1:O4 S5:V5" xr:uid="{F0C3B577-2BB9-47A9-96FB-83EB6BA8E137}">
      <formula1>"Please do not change this formula"</formula1>
    </dataValidation>
    <dataValidation type="custom" allowBlank="1" showInputMessage="1" showErrorMessage="1" error="Please do not change" sqref="R9:R13" xr:uid="{D8532833-B90A-44A4-ABE8-1605E7E0CF49}">
      <formula1>"Please do not change"</formula1>
    </dataValidation>
    <dataValidation type="custom" allowBlank="1" showInputMessage="1" showErrorMessage="1" error="Please do not change this formula" sqref="O5:R5" xr:uid="{5543A5BE-CEF1-4671-9A2D-99A9228A93DE}">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59 S68:T76" xr:uid="{4EDBB5DB-C55D-4789-84D4-A72C1BC786FA}">
      <formula1>0</formula1>
    </dataValidation>
  </dataValidations>
  <hyperlinks>
    <hyperlink ref="I2:J2" location="GHG_BIOMASS_GASIFICATION!A1" display="Go to the summary tab of this pathway" xr:uid="{39E475D3-D642-42FC-B621-E7BE126D9E74}"/>
  </hyperlinks>
  <pageMargins left="0" right="0" top="0" bottom="0" header="0" footer="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5" id="{00000000-000E-0000-3000-00002D000000}">
            <xm:f>AND(Path&lt;&gt;Units!$B$135,Path&lt;&gt;Units!$B$136,Master_Switch="On")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49" id="{61AD4511-8A3F-475B-A591-40A99F372EFF}">
            <xm:f>AND(GHG_BIOMASS_GASIFICATION!$D$9="Default",Master_Switch="On")</xm:f>
            <x14:dxf>
              <font>
                <color theme="0"/>
              </font>
              <fill>
                <patternFill>
                  <bgColor theme="0"/>
                </patternFill>
              </fill>
              <border>
                <left/>
                <right/>
                <top/>
                <bottom/>
              </border>
            </x14:dxf>
          </x14:cfRule>
          <xm:sqref>A21:XFD30</xm:sqref>
        </x14:conditionalFormatting>
        <x14:conditionalFormatting xmlns:xm="http://schemas.microsoft.com/office/excel/2006/main">
          <x14:cfRule type="expression" priority="46" id="{8BE5CD30-E7FF-407E-AC46-1089307E3656}">
            <xm:f>AND(GHG_BIOMASS_GASIFICATION!$D$10="Default",Master_Switch="On")</xm:f>
            <x14:dxf>
              <font>
                <color theme="0"/>
              </font>
              <fill>
                <patternFill>
                  <bgColor theme="0"/>
                </patternFill>
              </fill>
              <border>
                <left/>
                <right/>
                <top/>
                <bottom/>
              </border>
            </x14:dxf>
          </x14:cfRule>
          <xm:sqref>A34:XFD43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3BB2D41C-D64B-462F-81D3-F056EF2C78A1}">
          <x14:formula1>
            <xm:f>Units!$Z$120</xm:f>
          </x14:formula1>
          <xm:sqref>D9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E34E9-A095-457B-8216-9666CBB8C747}">
  <sheetPr codeName="Sheet44">
    <tabColor theme="8" tint="0.59999389629810485"/>
  </sheetPr>
  <dimension ref="B1:Y32"/>
  <sheetViews>
    <sheetView showGridLines="0" zoomScaleNormal="100" workbookViewId="0"/>
  </sheetViews>
  <sheetFormatPr defaultRowHeight="14.5"/>
  <sheetData>
    <row r="1" spans="2:23" ht="15" thickBot="1">
      <c r="B1" s="3" t="s">
        <v>133</v>
      </c>
      <c r="C1" s="3"/>
      <c r="D1" s="3"/>
      <c r="E1" s="3"/>
      <c r="F1" s="3"/>
    </row>
    <row r="2" spans="2:23" ht="15.5" thickTop="1" thickBot="1">
      <c r="B2" s="177" t="s">
        <v>134</v>
      </c>
      <c r="C2" s="177"/>
      <c r="D2" s="177"/>
      <c r="E2" s="177"/>
      <c r="F2" s="177"/>
      <c r="G2" s="177"/>
      <c r="H2" s="177"/>
      <c r="I2" s="177"/>
      <c r="J2" s="177"/>
      <c r="K2" s="177"/>
      <c r="L2" s="177"/>
      <c r="M2" s="177"/>
      <c r="N2" s="177"/>
    </row>
    <row r="4" spans="2:23">
      <c r="B4" s="30" t="s">
        <v>106</v>
      </c>
    </row>
    <row r="5" spans="2:23">
      <c r="B5" s="32"/>
      <c r="C5" s="635" t="s">
        <v>107</v>
      </c>
      <c r="D5" s="635"/>
      <c r="E5" s="635"/>
      <c r="F5" s="635"/>
      <c r="G5" s="635"/>
      <c r="H5" s="646"/>
    </row>
    <row r="6" spans="2:23">
      <c r="B6" s="181"/>
      <c r="C6" s="635" t="s">
        <v>108</v>
      </c>
      <c r="D6" s="635"/>
      <c r="E6" s="635"/>
      <c r="F6" s="635"/>
      <c r="G6" s="635"/>
      <c r="H6" s="646"/>
    </row>
    <row r="7" spans="2:23">
      <c r="B7" s="57"/>
      <c r="C7" s="635" t="s">
        <v>109</v>
      </c>
      <c r="D7" s="635"/>
      <c r="E7" s="635"/>
      <c r="F7" s="635"/>
      <c r="G7" s="635"/>
      <c r="H7" s="646"/>
    </row>
    <row r="9" spans="2:23" ht="15" thickBot="1">
      <c r="B9" s="176" t="s">
        <v>135</v>
      </c>
      <c r="C9" s="176"/>
      <c r="D9" s="176"/>
      <c r="E9" s="176"/>
    </row>
    <row r="10" spans="2:23" ht="15" thickTop="1"/>
    <row r="11" spans="2:23">
      <c r="B11" s="643" t="s">
        <v>136</v>
      </c>
      <c r="C11" s="643"/>
      <c r="D11" s="643"/>
      <c r="E11" s="643"/>
      <c r="F11" s="643"/>
      <c r="G11" s="643"/>
      <c r="H11" s="643"/>
      <c r="I11" s="643"/>
      <c r="J11" s="643"/>
      <c r="K11" s="643"/>
      <c r="L11" s="643"/>
      <c r="M11" s="643"/>
      <c r="N11" s="643"/>
      <c r="O11" s="643"/>
      <c r="P11" s="643"/>
      <c r="Q11" s="643"/>
      <c r="R11" s="643"/>
      <c r="S11" s="643"/>
      <c r="T11" s="643"/>
      <c r="U11" s="643"/>
      <c r="V11" s="643"/>
      <c r="W11" s="643"/>
    </row>
    <row r="26" spans="2:25" ht="65.5" customHeight="1">
      <c r="B26" s="643" t="s">
        <v>137</v>
      </c>
      <c r="C26" s="643"/>
      <c r="D26" s="643"/>
      <c r="E26" s="643"/>
      <c r="F26" s="643"/>
      <c r="G26" s="643"/>
      <c r="H26" s="643"/>
      <c r="I26" s="643"/>
      <c r="J26" s="643"/>
      <c r="K26" s="643"/>
      <c r="L26" s="643"/>
      <c r="M26" s="643"/>
      <c r="N26" s="643"/>
      <c r="O26" s="643"/>
      <c r="P26" s="643"/>
      <c r="Q26" s="643"/>
      <c r="R26" s="643"/>
      <c r="S26" s="643"/>
      <c r="T26" s="643"/>
      <c r="U26" s="643"/>
      <c r="V26" s="643"/>
      <c r="W26" s="643"/>
    </row>
    <row r="28" spans="2:25">
      <c r="B28" t="s">
        <v>138</v>
      </c>
    </row>
    <row r="29" spans="2:25">
      <c r="B29" s="29" t="s">
        <v>139</v>
      </c>
    </row>
    <row r="30" spans="2:25">
      <c r="B30" t="s">
        <v>140</v>
      </c>
    </row>
    <row r="32" spans="2:25" ht="14.5" customHeight="1">
      <c r="B32" t="s">
        <v>141</v>
      </c>
      <c r="C32" s="81"/>
      <c r="D32" s="81"/>
      <c r="E32" s="81"/>
      <c r="F32" s="81"/>
      <c r="G32" s="81"/>
      <c r="H32" s="81"/>
      <c r="I32" s="81"/>
      <c r="J32" s="81"/>
      <c r="K32" s="81"/>
      <c r="L32" s="81"/>
      <c r="M32" s="81"/>
      <c r="N32" s="81"/>
      <c r="O32" s="81"/>
      <c r="P32" s="81"/>
      <c r="Q32" s="81"/>
      <c r="R32" s="81"/>
      <c r="S32" s="81"/>
      <c r="T32" s="81"/>
      <c r="U32" s="81"/>
      <c r="V32" s="81"/>
      <c r="W32" s="81"/>
      <c r="X32" s="81"/>
      <c r="Y32" s="81"/>
    </row>
  </sheetData>
  <customSheetViews>
    <customSheetView guid="{2D920366-22B2-4182-A65D-0EDBE614FB37}" showGridLines="0">
      <pageMargins left="0" right="0" top="0" bottom="0" header="0" footer="0"/>
    </customSheetView>
    <customSheetView guid="{F468A2FD-7987-4A9D-8BAE-1AACE523607F}" showGridLines="0">
      <selection activeCell="D1" sqref="D1"/>
      <pageMargins left="0" right="0" top="0" bottom="0" header="0" footer="0"/>
    </customSheetView>
    <customSheetView guid="{D97B1299-69D0-4EE0-B673-CCF74742F96B}">
      <selection activeCell="D2" sqref="D2"/>
      <pageMargins left="0" right="0" top="0" bottom="0" header="0" footer="0"/>
    </customSheetView>
    <customSheetView guid="{3F0A4FBA-5323-448F-A023-B3E14C54064C}" showGridLines="0">
      <selection activeCell="D2" sqref="D2"/>
      <pageMargins left="0" right="0" top="0" bottom="0" header="0" footer="0"/>
    </customSheetView>
    <customSheetView guid="{E6EFD927-84B2-4D06-BB59-59D9DF522DA2}" showGridLines="0">
      <selection activeCell="D1" sqref="D1"/>
      <pageMargins left="0" right="0" top="0" bottom="0" header="0" footer="0"/>
    </customSheetView>
    <customSheetView guid="{0E935136-9A80-44B6-88D5-61E64D742049}" showGridLines="0">
      <selection activeCell="D1" sqref="D1"/>
      <pageMargins left="0" right="0" top="0" bottom="0" header="0" footer="0"/>
    </customSheetView>
    <customSheetView guid="{1C16EB38-F785-4168-9938-104594734038}" showGridLines="0">
      <selection activeCell="D1" sqref="D1"/>
      <pageMargins left="0" right="0" top="0" bottom="0" header="0" footer="0"/>
    </customSheetView>
    <customSheetView guid="{EECBF9DF-6D77-4263-85DA-71E40216BADD}" showGridLines="0">
      <selection activeCell="D1" sqref="D1"/>
      <pageMargins left="0" right="0" top="0" bottom="0" header="0" footer="0"/>
    </customSheetView>
    <customSheetView guid="{F03309BC-D3FA-4CF2-833B-D6D9A95FE1FB}" showGridLines="0">
      <selection activeCell="D2" sqref="D2"/>
      <pageMargins left="0" right="0" top="0" bottom="0" header="0" footer="0"/>
    </customSheetView>
  </customSheetViews>
  <mergeCells count="5">
    <mergeCell ref="C6:H6"/>
    <mergeCell ref="C7:H7"/>
    <mergeCell ref="C5:H5"/>
    <mergeCell ref="B26:W26"/>
    <mergeCell ref="B11:W11"/>
  </mergeCells>
  <hyperlinks>
    <hyperlink ref="B29" r:id="rId1" xr:uid="{DACA5FDA-0BE1-4B8F-86C1-B5A03BA8FA31}"/>
  </hyperlinks>
  <pageMargins left="0" right="0" top="0" bottom="0" header="0" footer="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A0767-8350-4B5E-B398-7BE217CB2206}">
  <sheetPr codeName="Sheet59">
    <tabColor theme="7" tint="0.59999389629810485"/>
  </sheetPr>
  <dimension ref="A1:E27"/>
  <sheetViews>
    <sheetView showGridLines="0" zoomScaleNormal="100" workbookViewId="0"/>
  </sheetViews>
  <sheetFormatPr defaultColWidth="8.81640625" defaultRowHeight="14.5"/>
  <cols>
    <col min="1" max="1" width="6.54296875" customWidth="1"/>
    <col min="2" max="2" width="92.81640625" customWidth="1"/>
    <col min="3" max="3" width="29.81640625" customWidth="1"/>
    <col min="4" max="10" width="21.1796875" customWidth="1"/>
  </cols>
  <sheetData>
    <row r="1" spans="1:5" ht="31">
      <c r="A1" s="571" t="str">
        <f>IF(AND(Path&lt;&gt;Units!$B$137, Path&lt;&gt;Units!$B$138,Master_Switch="On"),"User should not fill in this sheet, but switch to other non-blank GHG worksheets","")</f>
        <v>User should not fill in this sheet, but switch to other non-blank GHG worksheets</v>
      </c>
    </row>
    <row r="2" spans="1:5" ht="18.5">
      <c r="A2" s="53"/>
      <c r="C2" s="729" t="s">
        <v>1093</v>
      </c>
      <c r="D2" s="731"/>
      <c r="E2" s="732"/>
    </row>
    <row r="3" spans="1:5">
      <c r="A3" s="53"/>
    </row>
    <row r="4" spans="1:5">
      <c r="B4" s="28" t="s">
        <v>1227</v>
      </c>
    </row>
    <row r="5" spans="1:5" ht="16.5">
      <c r="B5" t="s">
        <v>1228</v>
      </c>
    </row>
    <row r="7" spans="1:5">
      <c r="B7" t="s">
        <v>1229</v>
      </c>
      <c r="C7" s="563" t="str">
        <f>IF(AND(Initial_questions!E113="Default", OR(Initial_questions!E21="Waste Gasification with CCS",Initial_questions!E21="Waste Gasification without CCS")),"Grid average electricity","User to input")</f>
        <v>User to input</v>
      </c>
      <c r="D7" t="s">
        <v>1230</v>
      </c>
    </row>
    <row r="8" spans="1:5" ht="16.5">
      <c r="B8" t="s">
        <v>1231</v>
      </c>
      <c r="C8" s="563" t="str">
        <f>IF(AND(Initial_questions!E113="Default", OR(Initial_questions!E21="Waste Gasification with CCS",Initial_questions!E21="Waste Gasification without CCS")),"22%","User to input")</f>
        <v>User to input</v>
      </c>
      <c r="D8" t="s">
        <v>1232</v>
      </c>
    </row>
    <row r="9" spans="1:5" ht="16.5">
      <c r="B9" t="s">
        <v>1233</v>
      </c>
      <c r="C9" s="561" t="str">
        <f>IF(AND(Initial_questions!E113="Default", OR(Initial_questions!E21="Waste Gasification with CCS",Initial_questions!E21="Waste Gasification without CCS")),IFERROR(INDEX(Proj_grid_intensity_kWh,MATCH(Operations_year,Proj_grid_year,0))/Conversion_kWh_to_MJ,"Yet to provide year"),"User to input")</f>
        <v>User to input</v>
      </c>
    </row>
    <row r="10" spans="1:5" ht="16.5">
      <c r="B10" t="s">
        <v>1234</v>
      </c>
      <c r="C10" s="561" t="s">
        <v>1080</v>
      </c>
      <c r="D10" t="s">
        <v>1235</v>
      </c>
    </row>
    <row r="12" spans="1:5">
      <c r="B12" t="s">
        <v>1236</v>
      </c>
    </row>
    <row r="13" spans="1:5">
      <c r="B13" s="560" t="s">
        <v>1237</v>
      </c>
    </row>
    <row r="14" spans="1:5">
      <c r="B14" s="560" t="s">
        <v>1164</v>
      </c>
    </row>
    <row r="16" spans="1:5">
      <c r="B16" t="s">
        <v>1238</v>
      </c>
    </row>
    <row r="17" spans="2:2">
      <c r="B17" s="559" t="s">
        <v>1239</v>
      </c>
    </row>
    <row r="18" spans="2:2">
      <c r="B18" s="559" t="s">
        <v>1240</v>
      </c>
    </row>
    <row r="19" spans="2:2">
      <c r="B19" s="560" t="s">
        <v>1241</v>
      </c>
    </row>
    <row r="21" spans="2:2">
      <c r="B21" s="28" t="s">
        <v>1242</v>
      </c>
    </row>
    <row r="22" spans="2:2">
      <c r="B22" s="562"/>
    </row>
    <row r="23" spans="2:2">
      <c r="B23" s="562"/>
    </row>
    <row r="25" spans="2:2">
      <c r="B25" s="28" t="s">
        <v>1243</v>
      </c>
    </row>
    <row r="26" spans="2:2">
      <c r="B26" s="562"/>
    </row>
    <row r="27" spans="2:2">
      <c r="B27" s="562"/>
    </row>
  </sheetData>
  <customSheetViews>
    <customSheetView guid="{2D920366-22B2-4182-A65D-0EDBE614FB37}" showGridLines="0">
      <pageMargins left="0" right="0" top="0" bottom="0" header="0" footer="0"/>
      <pageSetup paperSize="9" orientation="portrait" r:id="rId1"/>
    </customSheetView>
    <customSheetView guid="{F468A2FD-7987-4A9D-8BAE-1AACE523607F}" showGridLines="0">
      <selection activeCell="C2" sqref="C2:E2"/>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selection activeCell="D2" sqref="D2"/>
      <pageMargins left="0" right="0" top="0" bottom="0" header="0" footer="0"/>
      <pageSetup paperSize="9" orientation="portrait" r:id="rId4"/>
    </customSheetView>
    <customSheetView guid="{E6EFD927-84B2-4D06-BB59-59D9DF522DA2}" showGridLines="0" state="hidden">
      <selection activeCell="D2" sqref="D2"/>
      <pageMargins left="0" right="0" top="0" bottom="0" header="0" footer="0"/>
      <pageSetup paperSize="9" orientation="portrait" r:id="rId5"/>
    </customSheetView>
    <customSheetView guid="{0E935136-9A80-44B6-88D5-61E64D742049}" showGridLines="0" state="hidden">
      <selection activeCell="D2" sqref="D2"/>
      <pageMargins left="0" right="0" top="0" bottom="0" header="0" footer="0"/>
      <pageSetup paperSize="9" orientation="portrait" r:id="rId6"/>
    </customSheetView>
    <customSheetView guid="{1C16EB38-F785-4168-9938-104594734038}" showGridLines="0" state="hidden">
      <selection activeCell="D2" sqref="D2"/>
      <pageMargins left="0" right="0" top="0" bottom="0" header="0" footer="0"/>
      <pageSetup paperSize="9" orientation="portrait" r:id="rId7"/>
    </customSheetView>
    <customSheetView guid="{EECBF9DF-6D77-4263-85DA-71E40216BADD}" showGridLines="0" state="hidden">
      <selection activeCell="D2" sqref="D2"/>
      <pageMargins left="0" right="0" top="0" bottom="0" header="0" footer="0"/>
      <pageSetup paperSize="9" orientation="portrait" r:id="rId8"/>
    </customSheetView>
    <customSheetView guid="{F03309BC-D3FA-4CF2-833B-D6D9A95FE1FB}" showGridLines="0" state="hidden">
      <selection activeCell="D2" sqref="D2"/>
      <pageMargins left="0" right="0" top="0" bottom="0" header="0" footer="0"/>
      <pageSetup paperSize="9" orientation="portrait" r:id="rId9"/>
    </customSheetView>
  </customSheetViews>
  <mergeCells count="1">
    <mergeCell ref="C2:E2"/>
  </mergeCells>
  <dataValidations count="1">
    <dataValidation type="decimal" operator="greaterThan" allowBlank="1" showInputMessage="1" showErrorMessage="1" errorTitle="Negative value used" error="Efficiency, displaced GHG intensity and CO2 emitted from waste fossil feedstock carbon values must all be non-negative" sqref="C8 C9:C10" xr:uid="{406FE4EB-A26E-4B95-86D6-B1811E9A1765}">
      <formula1>0</formula1>
    </dataValidation>
  </dataValidations>
  <hyperlinks>
    <hyperlink ref="C2:D2" location="'Biomass Gasification (+CCS)'!A1" display="Go to the next step of this pathway" xr:uid="{0BD07583-7F88-4537-8CDD-36804082FF1F}"/>
    <hyperlink ref="C2:E2" location="Waste_Collection!A1" display="Go to the next step of this pathway" xr:uid="{E6FC331A-B491-4037-9D16-B7F1411DBEAD}"/>
  </hyperlinks>
  <pageMargins left="0" right="0" top="0" bottom="0" header="0" footer="0"/>
  <pageSetup paperSize="9" orientation="portrait" r:id="rId10"/>
  <extLst>
    <ext xmlns:x14="http://schemas.microsoft.com/office/spreadsheetml/2009/9/main" uri="{78C0D931-6437-407d-A8EE-F0AAD7539E65}">
      <x14:conditionalFormattings>
        <x14:conditionalFormatting xmlns:xm="http://schemas.microsoft.com/office/excel/2006/main">
          <x14:cfRule type="expression" priority="1" id="{00000000-000E-0000-3100-000001000000}">
            <xm:f>AND(Path&lt;&gt;Units!$B$137,Path&lt;&gt;Units!$B$138,Master_Switch="On")</xm:f>
            <x14:dxf>
              <font>
                <color theme="0"/>
              </font>
              <fill>
                <patternFill>
                  <bgColor theme="0"/>
                </patternFill>
              </fill>
              <border>
                <left/>
                <right/>
                <top/>
                <bottom/>
                <vertical/>
                <horizontal/>
              </border>
            </x14:dxf>
          </x14:cfRule>
          <xm:sqref>A2:XFD100</xm:sqref>
        </x14:conditionalFormatting>
      </x14:conditionalFormatting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92F24-2240-4C45-AAE7-3A09F1F67F24}">
  <sheetPr codeName="Sheet34">
    <tabColor theme="7" tint="0.59999389629810485"/>
  </sheetPr>
  <dimension ref="A1:AC189"/>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55"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20.453125" customWidth="1"/>
    <col min="16" max="16" width="8" customWidth="1"/>
    <col min="17" max="17" width="18.81640625" style="12" customWidth="1"/>
    <col min="18" max="18" width="17.54296875" style="12" customWidth="1"/>
    <col min="19" max="20" width="20.7265625" style="13" customWidth="1"/>
    <col min="21" max="21" width="22.7265625" style="13" customWidth="1"/>
    <col min="22" max="22" width="20.26953125" style="39" customWidth="1"/>
    <col min="23" max="23" width="7.1796875" style="12" customWidth="1"/>
    <col min="24" max="24" width="26" style="12" customWidth="1"/>
    <col min="26" max="16384" width="7.1796875" style="12"/>
  </cols>
  <sheetData>
    <row r="1" spans="1:29" ht="31.9" customHeight="1">
      <c r="A1" s="80" t="str">
        <f>IF(AND(Path&lt;&gt;Units!$B$137,Path&lt;&gt;Units!$B$138,Master_Switch="On"),"User should not fill in this sheet, but switch to other non-blank GHG worksheets","")</f>
        <v>User should not fill in this sheet, but switch to other non-blank GHG worksheets</v>
      </c>
      <c r="E1" s="256"/>
    </row>
    <row r="2" spans="1:29" ht="20.5" customHeight="1">
      <c r="B2" s="80" t="str">
        <f>IF(AND(OR(GHG_WASTE_GASIFICATION!$D$5="Default",GHG_WASTE_GASIFICATION!$D$27="Default"),Master_Switch="On"),"Default data selected for this step, move to the next step of the pathway","")</f>
        <v/>
      </c>
      <c r="E2" s="256"/>
      <c r="I2" s="729" t="s">
        <v>1093</v>
      </c>
      <c r="J2" s="731"/>
      <c r="K2" s="732"/>
      <c r="L2" s="39"/>
      <c r="M2" s="39"/>
    </row>
    <row r="3" spans="1:29" ht="15" customHeight="1">
      <c r="E3" s="256"/>
    </row>
    <row r="4" spans="1:29" ht="15.65" customHeight="1" thickBot="1">
      <c r="B4" s="3"/>
      <c r="C4" s="3"/>
      <c r="D4" s="3"/>
      <c r="E4" s="455"/>
      <c r="F4" s="3"/>
      <c r="G4" s="3"/>
      <c r="H4" s="1"/>
      <c r="I4" s="1"/>
      <c r="J4" s="1"/>
      <c r="K4" s="1"/>
      <c r="L4" s="1"/>
      <c r="M4" s="1"/>
      <c r="N4" s="37"/>
      <c r="O4" s="1"/>
      <c r="P4" s="1"/>
      <c r="Q4" s="3"/>
      <c r="R4" s="3"/>
      <c r="S4" s="1"/>
      <c r="T4" s="1"/>
      <c r="U4" s="1"/>
      <c r="V4" s="37"/>
      <c r="W4" s="37"/>
      <c r="X4" s="3"/>
    </row>
    <row r="5" spans="1:29"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9" ht="15" thickTop="1">
      <c r="E6" s="457"/>
      <c r="Q6"/>
      <c r="R6"/>
      <c r="S6"/>
      <c r="T6"/>
      <c r="U6"/>
      <c r="V6"/>
    </row>
    <row r="7" spans="1:29">
      <c r="B7" s="145" t="s">
        <v>1097</v>
      </c>
      <c r="C7" s="145"/>
      <c r="D7" s="145"/>
      <c r="E7" s="324"/>
      <c r="F7" s="145"/>
      <c r="G7" s="145"/>
      <c r="H7" s="145"/>
      <c r="I7" s="145"/>
      <c r="J7" s="145"/>
      <c r="K7" s="145"/>
      <c r="L7" s="145"/>
      <c r="M7" s="145"/>
      <c r="N7" s="301"/>
      <c r="Q7"/>
      <c r="R7"/>
      <c r="S7"/>
      <c r="T7"/>
      <c r="U7"/>
      <c r="V7"/>
      <c r="W7" s="19"/>
      <c r="X7" s="19"/>
      <c r="Y7" s="19"/>
      <c r="Z7" s="19"/>
      <c r="AA7" s="19"/>
      <c r="AB7" s="19"/>
      <c r="AC7" s="19"/>
    </row>
    <row r="8" spans="1:29">
      <c r="B8" s="186" t="s">
        <v>1021</v>
      </c>
      <c r="C8" s="184" t="s">
        <v>1098</v>
      </c>
      <c r="D8" s="179" t="s">
        <v>479</v>
      </c>
      <c r="E8" s="35"/>
      <c r="F8" s="24"/>
      <c r="G8" s="21"/>
      <c r="H8" s="20"/>
      <c r="I8" s="36"/>
      <c r="J8" s="300"/>
      <c r="K8" s="302"/>
      <c r="L8" s="302"/>
      <c r="M8" s="302"/>
      <c r="N8" s="242">
        <f t="shared" ref="N8:N17" si="0">IF($D8="MWh/yr (LHV)",$E8,$J8*$E8*(1-$L8)/Conversion_kWh_to_MJ)</f>
        <v>0</v>
      </c>
      <c r="O8" s="12"/>
      <c r="P8" s="12"/>
      <c r="S8" s="35" t="str">
        <f t="shared" ref="S8:S15" si="1">IF(B8="", "", IF(D8="MWh/yr (LHV)", "Use column to right", "Enter data here"))</f>
        <v>Use column to right</v>
      </c>
      <c r="T8" s="35" t="e">
        <f>INDEX(Proj_grid_intensity_kWh,MATCH(Operations_year,Proj_grid_year,0))/Conversion_kWh_to_MJ</f>
        <v>#N/A</v>
      </c>
      <c r="U8" s="35" t="s">
        <v>1064</v>
      </c>
      <c r="V8" s="242" t="str">
        <f t="shared" ref="V8:V17" si="2">IFERROR(IF(D8="tonnes/yr", $S8*$E8/($N$20*3.6), $T8*$E8*3.6/($N$20*3.6)), "Unfilled fields to left")</f>
        <v>Unfilled fields to left</v>
      </c>
      <c r="X8" s="25"/>
      <c r="Y8" s="12"/>
    </row>
    <row r="9" spans="1:29">
      <c r="B9" s="186" t="s">
        <v>1021</v>
      </c>
      <c r="C9" s="184"/>
      <c r="D9" s="179" t="s">
        <v>479</v>
      </c>
      <c r="E9" s="35"/>
      <c r="F9" s="21"/>
      <c r="G9" s="21"/>
      <c r="H9" s="20"/>
      <c r="I9" s="36"/>
      <c r="J9" s="300"/>
      <c r="K9" s="302"/>
      <c r="L9" s="302"/>
      <c r="M9" s="302"/>
      <c r="N9" s="242">
        <f t="shared" si="0"/>
        <v>0</v>
      </c>
      <c r="O9" s="12"/>
      <c r="P9" s="12"/>
      <c r="S9" s="35" t="str">
        <f t="shared" si="1"/>
        <v>Use column to right</v>
      </c>
      <c r="T9" s="35" t="str">
        <f t="shared" ref="T9:T17" si="3">IF(B9="", "", IF(D9="MWh/yr (LHV)", "Enter data here", "Use column to left"))</f>
        <v>Enter data here</v>
      </c>
      <c r="U9" s="35" t="s">
        <v>1100</v>
      </c>
      <c r="V9" s="242" t="str">
        <f t="shared" si="2"/>
        <v>Unfilled fields to left</v>
      </c>
      <c r="X9" s="25"/>
      <c r="Y9" s="12"/>
    </row>
    <row r="10" spans="1:29">
      <c r="B10" s="186" t="s">
        <v>1042</v>
      </c>
      <c r="C10" s="184" t="s">
        <v>1043</v>
      </c>
      <c r="D10" s="179" t="s">
        <v>459</v>
      </c>
      <c r="E10" s="35"/>
      <c r="F10" s="24"/>
      <c r="G10" s="21"/>
      <c r="H10" s="20"/>
      <c r="I10" s="36"/>
      <c r="J10" s="300"/>
      <c r="K10" s="302"/>
      <c r="L10" s="302"/>
      <c r="M10" s="302"/>
      <c r="N10" s="242">
        <f t="shared" si="0"/>
        <v>0</v>
      </c>
      <c r="O10" s="12"/>
      <c r="P10" s="12"/>
      <c r="S10" s="35" t="str">
        <f t="shared" si="1"/>
        <v>Enter data here</v>
      </c>
      <c r="T10" s="35" t="str">
        <f t="shared" si="3"/>
        <v>Use column to left</v>
      </c>
      <c r="U10" s="35" t="s">
        <v>1100</v>
      </c>
      <c r="V10" s="242" t="str">
        <f t="shared" si="2"/>
        <v>Unfilled fields to left</v>
      </c>
      <c r="X10" s="25"/>
      <c r="Y10" s="12"/>
    </row>
    <row r="11" spans="1:29">
      <c r="B11" s="186" t="s">
        <v>1042</v>
      </c>
      <c r="C11" s="184" t="s">
        <v>1045</v>
      </c>
      <c r="D11" s="179" t="s">
        <v>459</v>
      </c>
      <c r="E11" s="35"/>
      <c r="F11" s="21"/>
      <c r="G11" s="21"/>
      <c r="H11" s="20"/>
      <c r="I11" s="36"/>
      <c r="J11" s="300"/>
      <c r="K11" s="302"/>
      <c r="L11" s="302"/>
      <c r="M11" s="302"/>
      <c r="N11" s="242">
        <f t="shared" si="0"/>
        <v>0</v>
      </c>
      <c r="O11" s="12"/>
      <c r="P11" s="12"/>
      <c r="S11" s="35" t="str">
        <f t="shared" si="1"/>
        <v>Enter data here</v>
      </c>
      <c r="T11" s="35" t="str">
        <f t="shared" si="3"/>
        <v>Use column to left</v>
      </c>
      <c r="U11" s="35" t="s">
        <v>1100</v>
      </c>
      <c r="V11" s="242" t="str">
        <f t="shared" si="2"/>
        <v>Unfilled fields to left</v>
      </c>
      <c r="X11" s="25"/>
      <c r="Y11" s="12"/>
    </row>
    <row r="12" spans="1:29">
      <c r="B12" s="186" t="s">
        <v>1051</v>
      </c>
      <c r="C12" s="184" t="s">
        <v>1053</v>
      </c>
      <c r="D12" s="179" t="s">
        <v>459</v>
      </c>
      <c r="E12" s="35"/>
      <c r="F12" s="24"/>
      <c r="G12" s="21"/>
      <c r="H12" s="20"/>
      <c r="I12" s="36"/>
      <c r="J12" s="300"/>
      <c r="K12" s="302"/>
      <c r="L12" s="302"/>
      <c r="M12" s="302"/>
      <c r="N12" s="242">
        <f t="shared" si="0"/>
        <v>0</v>
      </c>
      <c r="O12" s="12"/>
      <c r="P12" s="12"/>
      <c r="S12" s="35" t="str">
        <f t="shared" si="1"/>
        <v>Enter data here</v>
      </c>
      <c r="T12" s="35" t="str">
        <f t="shared" si="3"/>
        <v>Use column to left</v>
      </c>
      <c r="U12" s="35" t="s">
        <v>1100</v>
      </c>
      <c r="V12" s="242" t="str">
        <f t="shared" si="2"/>
        <v>Unfilled fields to left</v>
      </c>
      <c r="X12" s="25"/>
      <c r="Y12" s="12"/>
    </row>
    <row r="13" spans="1:29">
      <c r="B13" s="186" t="s">
        <v>1051</v>
      </c>
      <c r="C13" s="184" t="s">
        <v>1101</v>
      </c>
      <c r="D13" s="179" t="s">
        <v>459</v>
      </c>
      <c r="E13" s="35"/>
      <c r="F13" s="21"/>
      <c r="G13" s="21"/>
      <c r="H13" s="20"/>
      <c r="I13" s="36"/>
      <c r="J13" s="300"/>
      <c r="K13" s="302"/>
      <c r="L13" s="302"/>
      <c r="M13" s="302"/>
      <c r="N13" s="242">
        <f t="shared" si="0"/>
        <v>0</v>
      </c>
      <c r="O13" s="12"/>
      <c r="P13" s="12"/>
      <c r="S13" s="35" t="str">
        <f t="shared" si="1"/>
        <v>Enter data here</v>
      </c>
      <c r="T13" s="35" t="str">
        <f t="shared" si="3"/>
        <v>Use column to left</v>
      </c>
      <c r="U13" s="35" t="s">
        <v>1100</v>
      </c>
      <c r="V13" s="242" t="str">
        <f t="shared" si="2"/>
        <v>Unfilled fields to left</v>
      </c>
      <c r="X13" s="25"/>
      <c r="Y13" s="12"/>
    </row>
    <row r="14" spans="1:29">
      <c r="B14" s="186" t="s">
        <v>1177</v>
      </c>
      <c r="C14" s="184" t="s">
        <v>1055</v>
      </c>
      <c r="D14" s="179" t="s">
        <v>459</v>
      </c>
      <c r="E14" s="35"/>
      <c r="F14" s="21"/>
      <c r="G14" s="21"/>
      <c r="H14" s="20"/>
      <c r="I14" s="36"/>
      <c r="J14" s="300"/>
      <c r="K14" s="302"/>
      <c r="L14" s="302"/>
      <c r="M14" s="302"/>
      <c r="N14" s="242">
        <f t="shared" si="0"/>
        <v>0</v>
      </c>
      <c r="O14" s="12"/>
      <c r="P14" s="12"/>
      <c r="S14" s="35" t="str">
        <f t="shared" si="1"/>
        <v>Enter data here</v>
      </c>
      <c r="T14" s="35" t="str">
        <f t="shared" si="3"/>
        <v>Use column to left</v>
      </c>
      <c r="U14" s="35" t="s">
        <v>1100</v>
      </c>
      <c r="V14" s="242" t="str">
        <f t="shared" si="2"/>
        <v>Unfilled fields to left</v>
      </c>
      <c r="X14" s="25"/>
      <c r="Y14" s="12"/>
    </row>
    <row r="15" spans="1:29">
      <c r="B15" s="186" t="s">
        <v>1177</v>
      </c>
      <c r="C15" s="184" t="s">
        <v>1213</v>
      </c>
      <c r="D15" s="179" t="s">
        <v>459</v>
      </c>
      <c r="E15" s="35"/>
      <c r="F15" s="21"/>
      <c r="G15" s="21"/>
      <c r="H15" s="20"/>
      <c r="I15" s="36"/>
      <c r="J15" s="300"/>
      <c r="K15" s="302"/>
      <c r="L15" s="302"/>
      <c r="M15" s="302"/>
      <c r="N15" s="242">
        <f t="shared" si="0"/>
        <v>0</v>
      </c>
      <c r="O15" s="12"/>
      <c r="P15" s="12"/>
      <c r="S15" s="35" t="str">
        <f t="shared" si="1"/>
        <v>Enter data here</v>
      </c>
      <c r="T15" s="35" t="str">
        <f t="shared" si="3"/>
        <v>Use column to left</v>
      </c>
      <c r="U15" s="35" t="s">
        <v>1100</v>
      </c>
      <c r="V15" s="242" t="str">
        <f t="shared" si="2"/>
        <v>Unfilled fields to left</v>
      </c>
      <c r="X15" s="25"/>
      <c r="Y15" s="12"/>
    </row>
    <row r="16" spans="1:29">
      <c r="B16" s="186"/>
      <c r="C16" s="184"/>
      <c r="D16" s="179"/>
      <c r="E16" s="35"/>
      <c r="F16" s="21"/>
      <c r="G16" s="21"/>
      <c r="H16" s="20"/>
      <c r="I16" s="36"/>
      <c r="J16" s="300"/>
      <c r="K16" s="302"/>
      <c r="L16" s="302"/>
      <c r="M16" s="302"/>
      <c r="N16" s="242">
        <f t="shared" si="0"/>
        <v>0</v>
      </c>
      <c r="O16" s="12"/>
      <c r="P16" s="12"/>
      <c r="S16" s="35" t="str">
        <f t="shared" ref="S16" si="4">IF(B16="", "", IF(D16="MWh/yr (LHV)", "Use column to right", "Enter data here"))</f>
        <v/>
      </c>
      <c r="T16" s="35" t="str">
        <f t="shared" ref="T16" si="5">IF(B16="", "", IF(D16="MWh/yr (LHV)", "Enter data here", "Use column to left"))</f>
        <v/>
      </c>
      <c r="U16" s="35"/>
      <c r="V16" s="242" t="str">
        <f t="shared" si="2"/>
        <v>Unfilled fields to left</v>
      </c>
      <c r="X16" s="25"/>
      <c r="Y16" s="12"/>
    </row>
    <row r="17" spans="2:29">
      <c r="B17" s="16"/>
      <c r="C17" s="15"/>
      <c r="D17" s="179"/>
      <c r="E17" s="35"/>
      <c r="F17" s="21"/>
      <c r="G17" s="21"/>
      <c r="H17" s="20"/>
      <c r="I17" s="36"/>
      <c r="J17" s="300"/>
      <c r="K17" s="302"/>
      <c r="L17" s="302"/>
      <c r="M17" s="302"/>
      <c r="N17" s="242">
        <f t="shared" si="0"/>
        <v>0</v>
      </c>
      <c r="O17" s="12"/>
      <c r="P17" s="12"/>
      <c r="S17" s="35" t="str">
        <f>IF(B17="", "", IF(D17="MWh/yr (LHV)", "Use column to right", "Enter data here"))</f>
        <v/>
      </c>
      <c r="T17" s="35" t="str">
        <f t="shared" si="3"/>
        <v/>
      </c>
      <c r="U17" s="35"/>
      <c r="V17" s="242" t="str">
        <f t="shared" si="2"/>
        <v>Unfilled fields to left</v>
      </c>
      <c r="X17" s="25"/>
      <c r="Y17" s="12"/>
    </row>
    <row r="18" spans="2:29">
      <c r="C18" s="17"/>
      <c r="D18" s="17"/>
      <c r="E18" s="506"/>
      <c r="F18" s="26"/>
      <c r="G18" s="27"/>
      <c r="H18" s="22"/>
      <c r="I18" s="22"/>
      <c r="J18" s="41"/>
      <c r="K18" s="41"/>
      <c r="L18" s="41"/>
      <c r="M18" s="41"/>
      <c r="N18" s="41"/>
      <c r="S18" s="41"/>
      <c r="T18" s="41"/>
      <c r="U18" s="41"/>
      <c r="V18" s="41"/>
      <c r="X18" s="27"/>
      <c r="Y18" s="12"/>
    </row>
    <row r="19" spans="2:29">
      <c r="B19" s="145" t="s">
        <v>1103</v>
      </c>
      <c r="C19" s="145"/>
      <c r="D19" s="145"/>
      <c r="E19" s="301"/>
      <c r="F19" s="145"/>
      <c r="G19" s="145"/>
      <c r="H19" s="145"/>
      <c r="I19" s="145"/>
      <c r="J19" s="301"/>
      <c r="K19" s="301"/>
      <c r="L19" s="301"/>
      <c r="M19" s="301"/>
      <c r="N19" s="301"/>
      <c r="Q19"/>
      <c r="R19"/>
      <c r="S19" s="40"/>
      <c r="T19" s="40"/>
      <c r="U19" s="40"/>
      <c r="V19" s="40"/>
      <c r="W19" s="19"/>
      <c r="X19" s="19"/>
      <c r="Y19" s="19"/>
      <c r="Z19" s="19"/>
      <c r="AA19" s="19"/>
      <c r="AB19" s="19"/>
      <c r="AC19" s="19"/>
    </row>
    <row r="20" spans="2:29">
      <c r="B20" s="16" t="s">
        <v>1104</v>
      </c>
      <c r="C20" s="184" t="s">
        <v>1244</v>
      </c>
      <c r="D20" s="179" t="s">
        <v>459</v>
      </c>
      <c r="E20" s="35"/>
      <c r="F20" s="24"/>
      <c r="G20" s="21"/>
      <c r="H20" s="21"/>
      <c r="I20" s="21"/>
      <c r="J20" s="300"/>
      <c r="K20" s="306"/>
      <c r="L20" s="306"/>
      <c r="M20" s="306"/>
      <c r="N20" s="242">
        <f t="shared" ref="N20:N31" si="6">IF($D20="MWh/yr (LHV)",$E20,$J20*$E20*(1-$L20)/Conversion_kWh_to_MJ)</f>
        <v>0</v>
      </c>
      <c r="O20" s="246" t="s">
        <v>868</v>
      </c>
      <c r="Q20" s="515">
        <f>IF($D20="MWh/yr (LHV)",$E20,$E20*MAX(0, $J20*(1-$L20)-2.441*$L20)/Conversion_kWh_to_MJ)</f>
        <v>0</v>
      </c>
      <c r="R20" s="245" t="str">
        <f>IFERROR(Q20/(SUM($Q$20:$Q$22)),"")</f>
        <v/>
      </c>
      <c r="S20" s="42"/>
      <c r="T20" s="42"/>
      <c r="U20" s="42"/>
      <c r="V20" s="42"/>
      <c r="X20" s="21"/>
      <c r="Y20" s="12"/>
    </row>
    <row r="21" spans="2:29" s="14" customFormat="1">
      <c r="B21" s="186" t="s">
        <v>1008</v>
      </c>
      <c r="C21" s="184" t="s">
        <v>1106</v>
      </c>
      <c r="D21" s="179" t="s">
        <v>459</v>
      </c>
      <c r="E21" s="35"/>
      <c r="F21" s="21"/>
      <c r="G21" s="21"/>
      <c r="H21" s="20"/>
      <c r="I21" s="33"/>
      <c r="J21" s="300"/>
      <c r="K21" s="302"/>
      <c r="L21" s="302"/>
      <c r="M21" s="302"/>
      <c r="N21" s="242">
        <f t="shared" si="6"/>
        <v>0</v>
      </c>
      <c r="O21" s="12"/>
      <c r="P21" s="12"/>
      <c r="Q21" s="515">
        <f>IF($D21="MWh/yr (LHV)",$E21,$E21*MAX(0, $J21*(1-$L21)-2.441*$L21)/Conversion_kWh_to_MJ)</f>
        <v>0</v>
      </c>
      <c r="R21" s="245" t="str">
        <f t="shared" ref="R21:R22" si="7">IFERROR(Q21/(SUM($Q$20:$Q$22)),"")</f>
        <v/>
      </c>
      <c r="S21" s="42"/>
      <c r="T21" s="42"/>
      <c r="U21" s="107"/>
      <c r="V21" s="12"/>
      <c r="W21" s="23"/>
      <c r="X21" s="21"/>
      <c r="Y21" s="23"/>
      <c r="Z21" s="42"/>
      <c r="AB21" s="12"/>
    </row>
    <row r="22" spans="2:29" s="14" customFormat="1">
      <c r="B22" s="186" t="s">
        <v>1008</v>
      </c>
      <c r="C22" s="184" t="s">
        <v>1107</v>
      </c>
      <c r="D22" s="179" t="s">
        <v>459</v>
      </c>
      <c r="E22" s="35"/>
      <c r="F22" s="21"/>
      <c r="G22" s="21"/>
      <c r="H22" s="20"/>
      <c r="I22" s="20"/>
      <c r="J22" s="302"/>
      <c r="K22" s="302"/>
      <c r="L22" s="302"/>
      <c r="M22" s="302"/>
      <c r="N22" s="242">
        <f t="shared" si="6"/>
        <v>0</v>
      </c>
      <c r="O22" s="12"/>
      <c r="P22" s="12"/>
      <c r="Q22" s="515">
        <f>IF($D22="MWh/yr (LHV)",$E22,$E22*MAX(0, $J22*(1-$L22)-2.441*$L22)/Conversion_kWh_to_MJ)</f>
        <v>0</v>
      </c>
      <c r="R22" s="245" t="str">
        <f t="shared" si="7"/>
        <v/>
      </c>
      <c r="S22" s="42"/>
      <c r="T22" s="42"/>
      <c r="U22" s="107"/>
      <c r="V22" s="12"/>
      <c r="W22" s="23"/>
      <c r="X22" s="21"/>
      <c r="Y22" s="23"/>
      <c r="Z22" s="42"/>
      <c r="AB22" s="12"/>
    </row>
    <row r="23" spans="2:29" s="14" customFormat="1">
      <c r="B23" s="186" t="s">
        <v>1013</v>
      </c>
      <c r="C23" s="184" t="s">
        <v>1108</v>
      </c>
      <c r="D23" s="179" t="s">
        <v>459</v>
      </c>
      <c r="E23" s="35"/>
      <c r="F23" s="21"/>
      <c r="G23" s="21"/>
      <c r="H23" s="20"/>
      <c r="I23" s="20"/>
      <c r="J23" s="302"/>
      <c r="K23" s="302"/>
      <c r="L23" s="302"/>
      <c r="M23" s="302"/>
      <c r="N23" s="242">
        <f t="shared" si="6"/>
        <v>0</v>
      </c>
      <c r="O23" s="12"/>
      <c r="P23" s="12"/>
      <c r="Q23" s="12"/>
      <c r="R23" s="12"/>
      <c r="S23" s="107"/>
      <c r="T23" s="107"/>
      <c r="U23" s="107"/>
      <c r="V23" s="12"/>
      <c r="W23" s="23"/>
      <c r="X23" s="21"/>
      <c r="Y23" s="23"/>
      <c r="Z23" s="42"/>
      <c r="AB23" s="12"/>
    </row>
    <row r="24" spans="2:29" s="14" customFormat="1">
      <c r="B24" s="186" t="s">
        <v>1013</v>
      </c>
      <c r="C24" s="184" t="s">
        <v>1015</v>
      </c>
      <c r="D24" s="179" t="s">
        <v>459</v>
      </c>
      <c r="E24" s="35"/>
      <c r="F24" s="21"/>
      <c r="G24" s="21"/>
      <c r="H24" s="20"/>
      <c r="I24" s="20"/>
      <c r="J24" s="302"/>
      <c r="K24" s="302"/>
      <c r="L24" s="302"/>
      <c r="M24" s="302"/>
      <c r="N24" s="242">
        <f t="shared" si="6"/>
        <v>0</v>
      </c>
      <c r="O24" s="12"/>
      <c r="P24" s="12"/>
      <c r="Q24" s="12"/>
      <c r="R24" s="12"/>
      <c r="S24" s="107"/>
      <c r="T24" s="107"/>
      <c r="U24" s="107"/>
      <c r="V24" s="12"/>
      <c r="W24" s="23"/>
      <c r="X24" s="21"/>
      <c r="Y24" s="23"/>
      <c r="Z24" s="42"/>
      <c r="AB24" s="12"/>
    </row>
    <row r="25" spans="2:29" s="14" customFormat="1">
      <c r="B25" s="186" t="s">
        <v>1016</v>
      </c>
      <c r="C25" s="184" t="s">
        <v>1017</v>
      </c>
      <c r="D25" s="179" t="s">
        <v>459</v>
      </c>
      <c r="E25" s="35"/>
      <c r="F25" s="21"/>
      <c r="G25" s="21"/>
      <c r="H25" s="20"/>
      <c r="I25" s="36"/>
      <c r="J25" s="300"/>
      <c r="K25" s="302"/>
      <c r="L25" s="302"/>
      <c r="M25" s="302"/>
      <c r="N25" s="242">
        <f t="shared" si="6"/>
        <v>0</v>
      </c>
      <c r="O25" s="12"/>
      <c r="P25" s="12"/>
      <c r="Q25" s="12"/>
      <c r="R25" s="12"/>
      <c r="S25" s="107"/>
      <c r="T25" s="107"/>
      <c r="U25" s="107"/>
      <c r="V25" s="12"/>
      <c r="X25" s="21"/>
    </row>
    <row r="26" spans="2:29" s="14" customFormat="1">
      <c r="B26" s="186" t="s">
        <v>1016</v>
      </c>
      <c r="C26" s="184" t="s">
        <v>1018</v>
      </c>
      <c r="D26" s="179" t="s">
        <v>459</v>
      </c>
      <c r="E26" s="35"/>
      <c r="F26" s="21"/>
      <c r="G26" s="21"/>
      <c r="H26" s="20"/>
      <c r="I26" s="36"/>
      <c r="J26" s="300"/>
      <c r="K26" s="302"/>
      <c r="L26" s="302"/>
      <c r="M26" s="302"/>
      <c r="N26" s="242">
        <f t="shared" si="6"/>
        <v>0</v>
      </c>
      <c r="O26" s="12"/>
      <c r="P26" s="12"/>
      <c r="Q26" s="12"/>
      <c r="R26" s="12"/>
      <c r="S26" s="107"/>
      <c r="T26" s="107"/>
      <c r="U26" s="107"/>
      <c r="V26" s="12"/>
      <c r="X26" s="21"/>
    </row>
    <row r="27" spans="2:29" s="14" customFormat="1">
      <c r="B27" s="186" t="s">
        <v>1057</v>
      </c>
      <c r="C27" s="184" t="s">
        <v>1182</v>
      </c>
      <c r="D27" s="179" t="s">
        <v>459</v>
      </c>
      <c r="E27" s="35"/>
      <c r="F27" s="34"/>
      <c r="G27" s="21"/>
      <c r="H27" s="20"/>
      <c r="I27" s="36"/>
      <c r="J27" s="300"/>
      <c r="K27" s="302"/>
      <c r="L27" s="302"/>
      <c r="M27" s="302"/>
      <c r="N27" s="242">
        <f t="shared" si="6"/>
        <v>0</v>
      </c>
      <c r="O27" s="12"/>
      <c r="P27" s="12"/>
      <c r="Q27" s="12"/>
      <c r="R27" s="12"/>
      <c r="S27" s="35">
        <v>1000</v>
      </c>
      <c r="T27" s="518"/>
      <c r="U27" s="35" t="s">
        <v>1118</v>
      </c>
      <c r="V27" s="242" t="str">
        <f>IFERROR(IF(D27="tonnes/yr", $S27*$E27/($N$20*3.6), $T27*$E27*3.6/($N$20*3.6)), "Unfilled fields to left")</f>
        <v>Unfilled fields to left</v>
      </c>
      <c r="X27" s="21"/>
    </row>
    <row r="28" spans="2:29" s="14" customFormat="1">
      <c r="B28" s="186" t="s">
        <v>1113</v>
      </c>
      <c r="C28" s="184" t="s">
        <v>1073</v>
      </c>
      <c r="D28" s="179" t="s">
        <v>459</v>
      </c>
      <c r="E28" s="35"/>
      <c r="F28" s="34"/>
      <c r="G28" s="21"/>
      <c r="H28" s="20"/>
      <c r="I28" s="36"/>
      <c r="J28" s="300"/>
      <c r="K28" s="302"/>
      <c r="L28" s="302"/>
      <c r="M28" s="302"/>
      <c r="N28" s="242">
        <f t="shared" si="6"/>
        <v>0</v>
      </c>
      <c r="O28" s="12"/>
      <c r="P28" s="12"/>
      <c r="Q28" s="12"/>
      <c r="R28" s="12"/>
      <c r="S28" s="35">
        <v>28000</v>
      </c>
      <c r="T28" s="518"/>
      <c r="U28" s="35" t="s">
        <v>1059</v>
      </c>
      <c r="V28" s="242" t="str">
        <f>IFERROR(IF(D28="tonnes/yr", $S28*$E28/($N$20*3.6), $T28*$E28*3.6/($N$20*3.6)), "Unfilled fields to left")</f>
        <v>Unfilled fields to left</v>
      </c>
      <c r="X28" s="21"/>
    </row>
    <row r="29" spans="2:29" s="14" customFormat="1">
      <c r="B29" s="186" t="s">
        <v>1113</v>
      </c>
      <c r="C29" s="184" t="s">
        <v>1075</v>
      </c>
      <c r="D29" s="179" t="s">
        <v>459</v>
      </c>
      <c r="E29" s="35"/>
      <c r="F29" s="21"/>
      <c r="G29" s="21"/>
      <c r="H29" s="20"/>
      <c r="I29" s="36"/>
      <c r="J29" s="300"/>
      <c r="K29" s="302"/>
      <c r="L29" s="302"/>
      <c r="M29" s="302"/>
      <c r="N29" s="242">
        <f t="shared" si="6"/>
        <v>0</v>
      </c>
      <c r="O29" s="12"/>
      <c r="P29" s="12"/>
      <c r="Q29" s="12"/>
      <c r="R29" s="12"/>
      <c r="S29" s="35">
        <v>265000</v>
      </c>
      <c r="T29" s="518"/>
      <c r="U29" s="35" t="s">
        <v>1059</v>
      </c>
      <c r="V29" s="242" t="str">
        <f>IFERROR(IF(D29="tonnes/yr", $S29*$E29/($N$20*3.6), $T29*$E29*3.6/($N$20*3.6)), "Unfilled fields to left")</f>
        <v>Unfilled fields to left</v>
      </c>
      <c r="X29" s="21"/>
    </row>
    <row r="30" spans="2:29" s="14" customFormat="1">
      <c r="B30" s="16"/>
      <c r="C30" s="15"/>
      <c r="D30" s="179"/>
      <c r="E30" s="35"/>
      <c r="F30" s="21"/>
      <c r="G30" s="21"/>
      <c r="H30" s="20"/>
      <c r="I30" s="36"/>
      <c r="J30" s="300"/>
      <c r="K30" s="302"/>
      <c r="L30" s="302"/>
      <c r="M30" s="302"/>
      <c r="N30" s="242">
        <f t="shared" si="6"/>
        <v>0</v>
      </c>
      <c r="O30" s="12"/>
      <c r="P30" s="12"/>
      <c r="Q30" s="12"/>
      <c r="R30" s="12"/>
      <c r="S30" s="300"/>
      <c r="T30" s="477"/>
      <c r="U30" s="302"/>
      <c r="V30" s="242" t="str">
        <f>IFERROR(IF(D30="tonnes/yr", $S30*$E30/($N$20*3.6), $T30*$E30*3.6/($N$20*3.6)), "Unfilled fields to left")</f>
        <v>Unfilled fields to left</v>
      </c>
      <c r="X30" s="21"/>
    </row>
    <row r="31" spans="2:29" s="14" customFormat="1">
      <c r="B31" s="16"/>
      <c r="C31" s="15"/>
      <c r="D31" s="179"/>
      <c r="E31" s="35"/>
      <c r="F31" s="21"/>
      <c r="G31" s="21"/>
      <c r="H31" s="20"/>
      <c r="I31" s="36"/>
      <c r="J31" s="300"/>
      <c r="K31" s="302"/>
      <c r="L31" s="302"/>
      <c r="M31" s="302"/>
      <c r="N31" s="242">
        <f t="shared" si="6"/>
        <v>0</v>
      </c>
      <c r="O31" s="12"/>
      <c r="P31" s="12"/>
      <c r="Q31" s="12"/>
      <c r="R31" s="12"/>
      <c r="S31" s="300"/>
      <c r="T31" s="477"/>
      <c r="U31" s="302"/>
      <c r="V31" s="242" t="str">
        <f>IFERROR(IF(D31="tonnes/yr", $S31*$E31/($N$20*3.6), $T31*$E31*3.6/($N$20*3.6)), "Unfilled fields to left")</f>
        <v>Unfilled fields to left</v>
      </c>
      <c r="X31" s="21"/>
    </row>
    <row r="32" spans="2:29">
      <c r="C32" s="17"/>
      <c r="D32" s="17"/>
      <c r="E32" s="140"/>
      <c r="F32" s="17"/>
      <c r="H32" s="18"/>
      <c r="I32" s="18"/>
      <c r="J32" s="40"/>
      <c r="K32" s="40"/>
      <c r="L32" s="40"/>
      <c r="M32" s="40"/>
      <c r="N32" s="40"/>
      <c r="O32" s="12"/>
      <c r="P32" s="12"/>
      <c r="S32" s="40"/>
      <c r="T32" s="40"/>
      <c r="U32" s="40"/>
      <c r="V32" s="40"/>
      <c r="Y32" s="12"/>
    </row>
    <row r="33" spans="2:25">
      <c r="D33" s="17"/>
      <c r="E33" s="140"/>
      <c r="J33" s="39"/>
      <c r="K33" s="39"/>
      <c r="L33" s="39"/>
      <c r="M33" s="39"/>
      <c r="O33" s="12"/>
      <c r="P33" s="12"/>
      <c r="S33" s="39"/>
      <c r="T33" s="39"/>
      <c r="U33" s="38" t="s">
        <v>1114</v>
      </c>
      <c r="V33" s="153">
        <f>SUM(V7:V32)</f>
        <v>0</v>
      </c>
      <c r="Y33" s="12"/>
    </row>
    <row r="34" spans="2:25">
      <c r="B34" s="145" t="s">
        <v>132</v>
      </c>
      <c r="C34" s="159"/>
      <c r="D34" s="159"/>
      <c r="E34" s="499"/>
      <c r="I34" s="12"/>
      <c r="J34" s="107"/>
      <c r="K34" s="107"/>
      <c r="L34" s="107"/>
      <c r="M34" s="107"/>
      <c r="N34" s="107"/>
      <c r="O34" s="12"/>
      <c r="P34" s="12"/>
      <c r="S34" s="107"/>
      <c r="T34" s="107"/>
      <c r="U34" s="107"/>
      <c r="Y34" s="12"/>
    </row>
    <row r="35" spans="2:25">
      <c r="B35" s="16" t="s">
        <v>1086</v>
      </c>
      <c r="C35" s="15" t="s">
        <v>1087</v>
      </c>
      <c r="D35" s="15" t="s">
        <v>1088</v>
      </c>
      <c r="E35" s="501"/>
      <c r="G35" s="19"/>
      <c r="H35" s="12"/>
      <c r="I35" s="12"/>
      <c r="J35" s="107"/>
      <c r="K35" s="107"/>
      <c r="L35" s="107"/>
      <c r="M35" s="107"/>
      <c r="N35" s="107"/>
      <c r="O35" s="12"/>
      <c r="P35" s="12"/>
      <c r="S35" s="107"/>
      <c r="T35" s="107"/>
      <c r="U35" s="107"/>
      <c r="V35" s="12"/>
      <c r="X35" s="25"/>
      <c r="Y35" s="12"/>
    </row>
    <row r="36" spans="2:25">
      <c r="B36" s="16"/>
      <c r="C36" s="15"/>
      <c r="D36" s="15"/>
      <c r="E36" s="507"/>
      <c r="H36" s="12"/>
      <c r="I36" s="12"/>
      <c r="J36" s="107"/>
      <c r="K36" s="107"/>
      <c r="L36" s="107"/>
      <c r="M36" s="107"/>
      <c r="N36" s="107"/>
      <c r="O36" s="12"/>
      <c r="P36" s="12"/>
      <c r="S36" s="107"/>
      <c r="T36" s="107"/>
      <c r="U36" s="107"/>
      <c r="V36" s="12"/>
      <c r="X36" s="25"/>
      <c r="Y36" s="12"/>
    </row>
    <row r="37" spans="2:25">
      <c r="B37" s="16"/>
      <c r="C37" s="15"/>
      <c r="D37" s="15"/>
      <c r="E37" s="507"/>
      <c r="J37" s="39"/>
      <c r="K37" s="39"/>
      <c r="L37" s="39"/>
      <c r="M37" s="39"/>
      <c r="S37" s="39"/>
      <c r="T37" s="39"/>
      <c r="U37" s="39"/>
      <c r="X37" s="25"/>
    </row>
    <row r="38" spans="2:25">
      <c r="B38" s="16"/>
      <c r="C38" s="15"/>
      <c r="D38" s="15"/>
      <c r="E38" s="507"/>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F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F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E41D34F5-7F8E-451D-A63E-ABB77568F97C}">
      <formula1>Flow_units</formula1>
    </dataValidation>
    <dataValidation type="custom" allowBlank="1" showInputMessage="1" showErrorMessage="1" error="Please do not change this formula" prompt="Please do not change this formula" sqref="W4 V6:V1048576 V1:V4 S5:V5 O20" xr:uid="{3D9F2831-AC29-4622-B82C-5C95C71864D8}">
      <formula1>"Please do not change this formula"</formula1>
    </dataValidation>
    <dataValidation type="custom" allowBlank="1" showInputMessage="1" showErrorMessage="1" error="Please do not change this formula" sqref="R6:R19 R23:R1048576 N1:N1048576 O1:R5 P6:Q1048576 O6:O19 O21:O1048576" xr:uid="{EA2E8306-5FEE-4D78-979A-8F5695CC708C}">
      <formula1>"Please do not change this formula"</formula1>
    </dataValidation>
    <dataValidation type="custom" allowBlank="1" showInputMessage="1" showErrorMessage="1" error="Please do not change" sqref="R20:R22" xr:uid="{0C7EABCB-B807-4F48-B575-FAB094D36938}">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6277F68C-A9B8-43FB-BD33-B0A18969C869}">
      <formula1>0</formula1>
    </dataValidation>
  </dataValidations>
  <hyperlinks>
    <hyperlink ref="I2:J2" location="'Waste Transport'!A1" display="Go to the next step of this pathway" xr:uid="{9EB336B3-183F-4FAD-90D3-25D506554077}"/>
    <hyperlink ref="I2:K2" location="Waste_Transport!A1" display="Go to the next step of this pathway" xr:uid="{DEFB3908-7A34-4695-82BD-31CFA12B9A6E}"/>
  </hyperlinks>
  <pageMargins left="0" right="0" top="0" bottom="0" header="0" footer="0"/>
  <pageSetup paperSize="9" orientation="portrait" r:id="rId10"/>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3200-000001000000}">
            <xm:f>AND(Path&lt;&gt;Units!$B$137,Path&lt;&gt;Units!$B$138,Master_Switch="On")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6" id="{00000000-000E-0000-2900-000005000000}">
            <xm:f>AND(OR(GHG_WASTE_GASIFICATION!$D$5="Default",GHG_WASTE_GASIFICATION!$D$27="Default"),Master_Switch="On")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B8419-7D59-454F-AF78-3902E145B950}">
  <sheetPr codeName="Sheet35">
    <tabColor theme="7" tint="0.59999389629810485"/>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55"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20.453125" customWidth="1"/>
    <col min="16" max="16" width="8" customWidth="1"/>
    <col min="17" max="17" width="18.81640625" style="12" customWidth="1"/>
    <col min="18" max="18" width="17.54296875" style="12" customWidth="1"/>
    <col min="19" max="20" width="20.7265625" style="13" customWidth="1"/>
    <col min="21" max="21" width="22.7265625" style="13" customWidth="1"/>
    <col min="22" max="22" width="20.26953125" style="39" customWidth="1"/>
    <col min="23" max="23" width="7.1796875" style="12" customWidth="1"/>
    <col min="24" max="24" width="26" style="12" customWidth="1"/>
    <col min="26" max="16384" width="7.1796875" style="12"/>
  </cols>
  <sheetData>
    <row r="1" spans="1:29" ht="31.9" customHeight="1">
      <c r="A1" s="80" t="str">
        <f>IF(AND(Path&lt;&gt;Units!$B$137,Path&lt;&gt;Units!$B$138,Master_Switch="On"),"User should not fill in this sheet, but switch to other non-blank GHG worksheets","")</f>
        <v>User should not fill in this sheet, but switch to other non-blank GHG worksheets</v>
      </c>
      <c r="E1" s="256"/>
    </row>
    <row r="2" spans="1:29" ht="20.5" customHeight="1">
      <c r="B2" s="80" t="str">
        <f>IF(AND(OR(GHG_WASTE_GASIFICATION!$D$5="Default",GHG_WASTE_GASIFICATION!$D$27="Default"),Master_Switch="On"),"Default data selected for this step, move to the next step of the pathway","")</f>
        <v/>
      </c>
      <c r="E2" s="256"/>
      <c r="I2" s="729" t="s">
        <v>1093</v>
      </c>
      <c r="J2" s="731"/>
      <c r="K2" s="732"/>
      <c r="L2" s="39"/>
      <c r="M2" s="39"/>
    </row>
    <row r="3" spans="1:29" ht="15" customHeight="1">
      <c r="E3" s="256"/>
    </row>
    <row r="4" spans="1:29" ht="15.65" customHeight="1" thickBot="1">
      <c r="B4" s="3"/>
      <c r="C4" s="3"/>
      <c r="D4" s="3"/>
      <c r="E4" s="455"/>
      <c r="F4" s="3"/>
      <c r="G4" s="3"/>
      <c r="H4" s="1"/>
      <c r="I4" s="1"/>
      <c r="J4" s="1"/>
      <c r="K4" s="1"/>
      <c r="L4" s="1"/>
      <c r="M4" s="1"/>
      <c r="N4" s="37"/>
      <c r="O4" s="1"/>
      <c r="P4" s="1"/>
      <c r="Q4" s="3"/>
      <c r="R4" s="3"/>
      <c r="S4" s="1"/>
      <c r="T4" s="1"/>
      <c r="U4" s="1"/>
      <c r="V4" s="37"/>
      <c r="W4" s="37"/>
      <c r="X4" s="3"/>
    </row>
    <row r="5" spans="1:29"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9" ht="15" thickTop="1">
      <c r="E6" s="457"/>
      <c r="Q6"/>
      <c r="R6"/>
      <c r="S6"/>
      <c r="T6"/>
      <c r="U6"/>
      <c r="V6"/>
    </row>
    <row r="7" spans="1:29">
      <c r="B7" s="145" t="s">
        <v>1097</v>
      </c>
      <c r="C7" s="145"/>
      <c r="D7" s="145"/>
      <c r="E7" s="324"/>
      <c r="F7" s="145"/>
      <c r="G7" s="145"/>
      <c r="H7" s="145"/>
      <c r="I7" s="145"/>
      <c r="J7" s="145"/>
      <c r="K7" s="145"/>
      <c r="L7" s="145"/>
      <c r="M7" s="145"/>
      <c r="N7" s="301"/>
      <c r="Q7"/>
      <c r="R7"/>
      <c r="S7"/>
      <c r="T7"/>
      <c r="U7"/>
      <c r="V7"/>
      <c r="W7" s="19"/>
      <c r="X7" s="19"/>
      <c r="Y7" s="19"/>
      <c r="Z7" s="19"/>
      <c r="AA7" s="19"/>
      <c r="AB7" s="19"/>
      <c r="AC7" s="19"/>
    </row>
    <row r="8" spans="1:29">
      <c r="B8" s="16" t="s">
        <v>1115</v>
      </c>
      <c r="C8" s="184" t="s">
        <v>1244</v>
      </c>
      <c r="D8" s="179" t="s">
        <v>459</v>
      </c>
      <c r="E8" s="35"/>
      <c r="F8" s="24"/>
      <c r="G8" s="21"/>
      <c r="H8" s="20"/>
      <c r="I8" s="20"/>
      <c r="J8" s="300"/>
      <c r="K8" s="302"/>
      <c r="L8" s="302"/>
      <c r="M8" s="302"/>
      <c r="N8" s="242">
        <f t="shared" ref="N8:N17" si="0">IF($D8="MWh/yr (LHV)",$E8,$J8*$E8*(1-$L8)/Conversion_kWh_to_MJ)</f>
        <v>0</v>
      </c>
      <c r="O8" s="12"/>
      <c r="P8" s="12"/>
      <c r="S8" s="107"/>
      <c r="T8" s="107"/>
      <c r="U8" s="107"/>
      <c r="V8" s="12"/>
      <c r="X8" s="24"/>
      <c r="Y8" s="12"/>
    </row>
    <row r="9" spans="1:29">
      <c r="B9" s="186" t="s">
        <v>1021</v>
      </c>
      <c r="C9" s="184" t="s">
        <v>1098</v>
      </c>
      <c r="D9" s="179" t="s">
        <v>479</v>
      </c>
      <c r="E9" s="35"/>
      <c r="F9" s="21"/>
      <c r="G9" s="21"/>
      <c r="H9" s="20"/>
      <c r="I9" s="36"/>
      <c r="J9" s="300"/>
      <c r="K9" s="302"/>
      <c r="L9" s="302"/>
      <c r="M9" s="302"/>
      <c r="N9" s="242">
        <f t="shared" si="0"/>
        <v>0</v>
      </c>
      <c r="O9" s="12"/>
      <c r="P9" s="12"/>
      <c r="S9" s="35" t="str">
        <f t="shared" ref="S9:S17" si="1">IF(B9="", "", IF(D9="MWh/yr (LHV)", "Use column to right", "Enter data here"))</f>
        <v>Use column to right</v>
      </c>
      <c r="T9" s="35" t="e">
        <f>INDEX(Proj_grid_intensity_kWh,MATCH(Operations_year,Proj_grid_year,0))/Conversion_kWh_to_MJ</f>
        <v>#N/A</v>
      </c>
      <c r="U9" s="35" t="s">
        <v>1064</v>
      </c>
      <c r="V9" s="242" t="str">
        <f t="shared" ref="V9:V17" si="2">IFERROR(IF(D9="tonnes/yr", $S9*$E9/($N$20*3.6), $T9*$E9*3.6/($N$20*3.6)), "Unfilled fields to left")</f>
        <v>Unfilled fields to left</v>
      </c>
      <c r="X9" s="25"/>
      <c r="Y9" s="12"/>
    </row>
    <row r="10" spans="1:29">
      <c r="B10" s="186" t="s">
        <v>1021</v>
      </c>
      <c r="C10" s="184"/>
      <c r="D10" s="179"/>
      <c r="E10" s="35"/>
      <c r="F10" s="21"/>
      <c r="G10" s="21"/>
      <c r="H10" s="20"/>
      <c r="I10" s="36"/>
      <c r="J10" s="300"/>
      <c r="K10" s="302"/>
      <c r="L10" s="302"/>
      <c r="M10" s="302"/>
      <c r="N10" s="242">
        <f t="shared" si="0"/>
        <v>0</v>
      </c>
      <c r="O10" s="12"/>
      <c r="P10" s="12"/>
      <c r="S10" s="35" t="str">
        <f t="shared" si="1"/>
        <v>Enter data here</v>
      </c>
      <c r="T10" s="35" t="str">
        <f t="shared" ref="T10:T17" si="3">IF(B10="", "", IF(D10="MWh/yr (LHV)", "Enter data here", "Use column to left"))</f>
        <v>Use column to left</v>
      </c>
      <c r="U10" s="35" t="s">
        <v>1100</v>
      </c>
      <c r="V10" s="242" t="str">
        <f t="shared" si="2"/>
        <v>Unfilled fields to left</v>
      </c>
      <c r="X10" s="25"/>
      <c r="Y10" s="12"/>
    </row>
    <row r="11" spans="1:29">
      <c r="B11" s="186" t="s">
        <v>1042</v>
      </c>
      <c r="C11" s="184" t="s">
        <v>1043</v>
      </c>
      <c r="D11" s="179" t="s">
        <v>459</v>
      </c>
      <c r="E11" s="35"/>
      <c r="F11" s="24"/>
      <c r="G11" s="21"/>
      <c r="H11" s="20"/>
      <c r="I11" s="36"/>
      <c r="J11" s="300"/>
      <c r="K11" s="302"/>
      <c r="L11" s="302"/>
      <c r="M11" s="302"/>
      <c r="N11" s="242">
        <f t="shared" si="0"/>
        <v>0</v>
      </c>
      <c r="O11" s="12"/>
      <c r="P11" s="12"/>
      <c r="S11" s="35" t="str">
        <f t="shared" si="1"/>
        <v>Enter data here</v>
      </c>
      <c r="T11" s="35" t="str">
        <f t="shared" si="3"/>
        <v>Use column to left</v>
      </c>
      <c r="U11" s="35" t="s">
        <v>1100</v>
      </c>
      <c r="V11" s="242" t="str">
        <f t="shared" si="2"/>
        <v>Unfilled fields to left</v>
      </c>
      <c r="W11" s="91"/>
      <c r="X11" s="25"/>
      <c r="Y11" s="12"/>
    </row>
    <row r="12" spans="1:29">
      <c r="B12" s="186" t="s">
        <v>1042</v>
      </c>
      <c r="C12" s="184" t="s">
        <v>1045</v>
      </c>
      <c r="D12" s="179" t="s">
        <v>459</v>
      </c>
      <c r="E12" s="35"/>
      <c r="F12" s="21"/>
      <c r="G12" s="21"/>
      <c r="H12" s="20"/>
      <c r="I12" s="36"/>
      <c r="J12" s="300"/>
      <c r="K12" s="302"/>
      <c r="L12" s="302"/>
      <c r="M12" s="302"/>
      <c r="N12" s="242">
        <f t="shared" si="0"/>
        <v>0</v>
      </c>
      <c r="O12" s="12"/>
      <c r="P12" s="12"/>
      <c r="S12" s="35" t="str">
        <f t="shared" si="1"/>
        <v>Enter data here</v>
      </c>
      <c r="T12" s="35" t="str">
        <f t="shared" si="3"/>
        <v>Use column to left</v>
      </c>
      <c r="U12" s="35" t="s">
        <v>1100</v>
      </c>
      <c r="V12" s="242" t="str">
        <f t="shared" si="2"/>
        <v>Unfilled fields to left</v>
      </c>
      <c r="X12" s="25"/>
      <c r="Y12" s="12"/>
    </row>
    <row r="13" spans="1:29">
      <c r="B13" s="186" t="s">
        <v>1051</v>
      </c>
      <c r="C13" s="184" t="s">
        <v>1053</v>
      </c>
      <c r="D13" s="179" t="s">
        <v>459</v>
      </c>
      <c r="E13" s="35"/>
      <c r="F13" s="21"/>
      <c r="G13" s="21"/>
      <c r="H13" s="20"/>
      <c r="I13" s="36"/>
      <c r="J13" s="300"/>
      <c r="K13" s="302"/>
      <c r="L13" s="302"/>
      <c r="M13" s="302"/>
      <c r="N13" s="242">
        <f t="shared" si="0"/>
        <v>0</v>
      </c>
      <c r="O13" s="12"/>
      <c r="P13" s="12"/>
      <c r="S13" s="35" t="str">
        <f t="shared" si="1"/>
        <v>Enter data here</v>
      </c>
      <c r="T13" s="35" t="str">
        <f t="shared" si="3"/>
        <v>Use column to left</v>
      </c>
      <c r="U13" s="35" t="s">
        <v>1100</v>
      </c>
      <c r="V13" s="242" t="str">
        <f t="shared" si="2"/>
        <v>Unfilled fields to left</v>
      </c>
      <c r="X13" s="25"/>
      <c r="Y13" s="12"/>
    </row>
    <row r="14" spans="1:29">
      <c r="B14" s="186" t="s">
        <v>1051</v>
      </c>
      <c r="C14" s="184" t="s">
        <v>1101</v>
      </c>
      <c r="D14" s="179" t="s">
        <v>459</v>
      </c>
      <c r="E14" s="35"/>
      <c r="F14" s="21"/>
      <c r="G14" s="21"/>
      <c r="H14" s="20"/>
      <c r="I14" s="36"/>
      <c r="J14" s="300"/>
      <c r="K14" s="302"/>
      <c r="L14" s="302"/>
      <c r="M14" s="302"/>
      <c r="N14" s="242">
        <f t="shared" si="0"/>
        <v>0</v>
      </c>
      <c r="O14" s="12"/>
      <c r="P14" s="12"/>
      <c r="S14" s="35" t="str">
        <f t="shared" si="1"/>
        <v>Enter data here</v>
      </c>
      <c r="T14" s="35" t="str">
        <f t="shared" si="3"/>
        <v>Use column to left</v>
      </c>
      <c r="U14" s="35" t="s">
        <v>1100</v>
      </c>
      <c r="V14" s="242" t="str">
        <f t="shared" si="2"/>
        <v>Unfilled fields to left</v>
      </c>
      <c r="X14" s="25"/>
      <c r="Y14" s="12"/>
    </row>
    <row r="15" spans="1:29">
      <c r="B15" s="186" t="s">
        <v>1177</v>
      </c>
      <c r="C15" s="184" t="s">
        <v>1055</v>
      </c>
      <c r="D15" s="179" t="s">
        <v>459</v>
      </c>
      <c r="E15" s="35"/>
      <c r="F15" s="21"/>
      <c r="G15" s="21"/>
      <c r="H15" s="20"/>
      <c r="I15" s="36"/>
      <c r="J15" s="300"/>
      <c r="K15" s="302"/>
      <c r="L15" s="302"/>
      <c r="M15" s="302"/>
      <c r="N15" s="242">
        <f t="shared" si="0"/>
        <v>0</v>
      </c>
      <c r="O15" s="12"/>
      <c r="P15" s="12"/>
      <c r="S15" s="35" t="str">
        <f t="shared" si="1"/>
        <v>Enter data here</v>
      </c>
      <c r="T15" s="35" t="str">
        <f t="shared" si="3"/>
        <v>Use column to left</v>
      </c>
      <c r="U15" s="35" t="s">
        <v>1100</v>
      </c>
      <c r="V15" s="242" t="str">
        <f t="shared" si="2"/>
        <v>Unfilled fields to left</v>
      </c>
      <c r="X15" s="25"/>
      <c r="Y15" s="12"/>
    </row>
    <row r="16" spans="1:29">
      <c r="B16" s="186" t="s">
        <v>1177</v>
      </c>
      <c r="C16" s="184" t="s">
        <v>1213</v>
      </c>
      <c r="D16" s="179" t="s">
        <v>459</v>
      </c>
      <c r="E16" s="35"/>
      <c r="F16" s="21"/>
      <c r="G16" s="21"/>
      <c r="H16" s="20"/>
      <c r="I16" s="36"/>
      <c r="J16" s="300"/>
      <c r="K16" s="302"/>
      <c r="L16" s="302"/>
      <c r="M16" s="302"/>
      <c r="N16" s="242">
        <f t="shared" si="0"/>
        <v>0</v>
      </c>
      <c r="O16" s="12"/>
      <c r="P16" s="12"/>
      <c r="S16" s="35" t="str">
        <f t="shared" si="1"/>
        <v>Enter data here</v>
      </c>
      <c r="T16" s="35" t="str">
        <f t="shared" si="3"/>
        <v>Use column to left</v>
      </c>
      <c r="U16" s="35" t="s">
        <v>1100</v>
      </c>
      <c r="V16" s="242" t="str">
        <f t="shared" si="2"/>
        <v>Unfilled fields to left</v>
      </c>
      <c r="X16" s="25"/>
      <c r="Y16" s="12"/>
    </row>
    <row r="17" spans="2:29">
      <c r="B17" s="16"/>
      <c r="C17" s="15"/>
      <c r="D17" s="179"/>
      <c r="E17" s="35"/>
      <c r="F17" s="21"/>
      <c r="G17" s="21"/>
      <c r="H17" s="20"/>
      <c r="I17" s="36"/>
      <c r="J17" s="300"/>
      <c r="K17" s="302"/>
      <c r="L17" s="302"/>
      <c r="M17" s="302"/>
      <c r="N17" s="242">
        <f t="shared" si="0"/>
        <v>0</v>
      </c>
      <c r="O17" s="12"/>
      <c r="P17" s="12"/>
      <c r="S17" s="35" t="str">
        <f t="shared" si="1"/>
        <v/>
      </c>
      <c r="T17" s="35" t="str">
        <f t="shared" si="3"/>
        <v/>
      </c>
      <c r="U17" s="35"/>
      <c r="V17" s="242" t="str">
        <f t="shared" si="2"/>
        <v>Unfilled fields to left</v>
      </c>
      <c r="X17" s="25"/>
      <c r="Y17" s="12"/>
    </row>
    <row r="18" spans="2:29">
      <c r="C18" s="17"/>
      <c r="D18" s="17"/>
      <c r="E18" s="506"/>
      <c r="F18" s="26"/>
      <c r="G18" s="27"/>
      <c r="H18" s="22"/>
      <c r="I18" s="22"/>
      <c r="J18" s="41"/>
      <c r="K18" s="41"/>
      <c r="L18" s="41"/>
      <c r="M18" s="41"/>
      <c r="N18" s="41"/>
      <c r="S18" s="41"/>
      <c r="T18" s="41"/>
      <c r="U18" s="41"/>
      <c r="V18" s="41"/>
      <c r="X18" s="27"/>
      <c r="Y18" s="12"/>
    </row>
    <row r="19" spans="2:29">
      <c r="B19" s="145" t="s">
        <v>1103</v>
      </c>
      <c r="C19" s="145"/>
      <c r="D19" s="145"/>
      <c r="E19" s="301"/>
      <c r="F19" s="145"/>
      <c r="G19" s="145"/>
      <c r="H19" s="145"/>
      <c r="I19" s="145"/>
      <c r="J19" s="301"/>
      <c r="K19" s="301"/>
      <c r="L19" s="301"/>
      <c r="M19" s="301"/>
      <c r="N19" s="301"/>
      <c r="Q19"/>
      <c r="R19"/>
      <c r="S19" s="40"/>
      <c r="T19" s="40"/>
      <c r="U19" s="40"/>
      <c r="V19" s="40"/>
      <c r="W19" s="19"/>
      <c r="X19" s="19"/>
      <c r="Y19" s="19"/>
      <c r="Z19" s="19"/>
      <c r="AA19" s="19"/>
      <c r="AB19" s="19"/>
      <c r="AC19" s="19"/>
    </row>
    <row r="20" spans="2:29">
      <c r="B20" s="16" t="s">
        <v>1104</v>
      </c>
      <c r="C20" s="184" t="s">
        <v>1244</v>
      </c>
      <c r="D20" s="179" t="s">
        <v>459</v>
      </c>
      <c r="E20" s="35"/>
      <c r="F20" s="21"/>
      <c r="G20" s="21"/>
      <c r="H20" s="21"/>
      <c r="I20" s="21"/>
      <c r="J20" s="300"/>
      <c r="K20" s="306"/>
      <c r="L20" s="306"/>
      <c r="M20" s="306"/>
      <c r="N20" s="242">
        <f t="shared" ref="N20:N31" si="4">IF($D20="MWh/yr (LHV)",$E20,$J20*$E20*(1-$L20)/Conversion_kWh_to_MJ)</f>
        <v>0</v>
      </c>
      <c r="O20" s="246" t="str">
        <f>IFERROR(N20/N8,"")</f>
        <v/>
      </c>
      <c r="Q20" s="515">
        <f>IF($D20="MWh/yr (LHV)",$E20,$E20*MAX(0, $J20*(1-$L20)-2.441*$L20)/Conversion_kWh_to_MJ)</f>
        <v>0</v>
      </c>
      <c r="R20" s="245" t="str">
        <f>IFERROR(Q20/(SUM($Q$20:$Q$22)),"")</f>
        <v/>
      </c>
      <c r="S20" s="42"/>
      <c r="T20" s="42"/>
      <c r="U20" s="42"/>
      <c r="V20" s="42"/>
      <c r="X20" s="21"/>
      <c r="Y20" s="12"/>
    </row>
    <row r="21" spans="2:29" s="14" customFormat="1">
      <c r="B21" s="186" t="s">
        <v>1008</v>
      </c>
      <c r="C21" s="184" t="s">
        <v>1106</v>
      </c>
      <c r="D21" s="179" t="s">
        <v>459</v>
      </c>
      <c r="E21" s="35"/>
      <c r="F21" s="21"/>
      <c r="G21" s="21"/>
      <c r="H21" s="20"/>
      <c r="I21" s="33"/>
      <c r="J21" s="300"/>
      <c r="K21" s="302"/>
      <c r="L21" s="302"/>
      <c r="M21" s="302"/>
      <c r="N21" s="242">
        <f t="shared" si="4"/>
        <v>0</v>
      </c>
      <c r="O21" s="12"/>
      <c r="P21" s="12"/>
      <c r="Q21" s="515">
        <f>IF($D21="MWh/yr (LHV)",$E21,$E21*MAX(0, $J21*(1-$L21)-2.441*$L21)/Conversion_kWh_to_MJ)</f>
        <v>0</v>
      </c>
      <c r="R21" s="245" t="str">
        <f t="shared" ref="R21:R22" si="5">IFERROR(Q21/(SUM($Q$20:$Q$22)),"")</f>
        <v/>
      </c>
      <c r="S21" s="42"/>
      <c r="T21" s="42"/>
      <c r="U21" s="107"/>
      <c r="V21" s="12"/>
      <c r="W21" s="23"/>
      <c r="X21" s="21"/>
      <c r="Y21" s="23"/>
      <c r="Z21" s="42"/>
      <c r="AB21" s="12"/>
    </row>
    <row r="22" spans="2:29" s="14" customFormat="1">
      <c r="B22" s="186" t="s">
        <v>1008</v>
      </c>
      <c r="C22" s="184" t="s">
        <v>1107</v>
      </c>
      <c r="D22" s="179" t="s">
        <v>459</v>
      </c>
      <c r="E22" s="35"/>
      <c r="F22" s="21"/>
      <c r="G22" s="21"/>
      <c r="H22" s="20"/>
      <c r="I22" s="20"/>
      <c r="J22" s="302"/>
      <c r="K22" s="302"/>
      <c r="L22" s="302"/>
      <c r="M22" s="302"/>
      <c r="N22" s="242">
        <f t="shared" si="4"/>
        <v>0</v>
      </c>
      <c r="O22" s="12"/>
      <c r="P22" s="12"/>
      <c r="Q22" s="515">
        <f>IF($D22="MWh/yr (LHV)",$E22,$E22*MAX(0, $J22*(1-$L22)-2.441*$L22)/Conversion_kWh_to_MJ)</f>
        <v>0</v>
      </c>
      <c r="R22" s="245" t="str">
        <f t="shared" si="5"/>
        <v/>
      </c>
      <c r="S22" s="42"/>
      <c r="T22" s="42"/>
      <c r="U22" s="107"/>
      <c r="V22" s="12"/>
      <c r="W22" s="23"/>
      <c r="X22" s="21"/>
      <c r="Y22" s="23"/>
      <c r="Z22" s="42"/>
      <c r="AB22" s="12"/>
    </row>
    <row r="23" spans="2:29" s="14" customFormat="1">
      <c r="B23" s="186" t="s">
        <v>1013</v>
      </c>
      <c r="C23" s="184" t="s">
        <v>1108</v>
      </c>
      <c r="D23" s="179" t="s">
        <v>459</v>
      </c>
      <c r="E23" s="35"/>
      <c r="F23" s="21"/>
      <c r="G23" s="21"/>
      <c r="H23" s="20"/>
      <c r="I23" s="20"/>
      <c r="J23" s="302"/>
      <c r="K23" s="302"/>
      <c r="L23" s="302"/>
      <c r="M23" s="302"/>
      <c r="N23" s="242">
        <f t="shared" si="4"/>
        <v>0</v>
      </c>
      <c r="O23" s="12"/>
      <c r="P23" s="12"/>
      <c r="Q23" s="12"/>
      <c r="R23" s="12"/>
      <c r="S23" s="107"/>
      <c r="T23" s="107"/>
      <c r="U23" s="107"/>
      <c r="V23" s="12"/>
      <c r="W23" s="23"/>
      <c r="X23" s="21"/>
      <c r="Y23" s="23"/>
      <c r="Z23" s="42"/>
      <c r="AB23" s="12"/>
    </row>
    <row r="24" spans="2:29" s="14" customFormat="1">
      <c r="B24" s="186" t="s">
        <v>1013</v>
      </c>
      <c r="C24" s="184" t="s">
        <v>1015</v>
      </c>
      <c r="D24" s="179" t="s">
        <v>459</v>
      </c>
      <c r="E24" s="35"/>
      <c r="F24" s="21"/>
      <c r="G24" s="21"/>
      <c r="H24" s="20"/>
      <c r="I24" s="20"/>
      <c r="J24" s="302"/>
      <c r="K24" s="302"/>
      <c r="L24" s="302"/>
      <c r="M24" s="302"/>
      <c r="N24" s="242">
        <f t="shared" si="4"/>
        <v>0</v>
      </c>
      <c r="O24" s="12"/>
      <c r="P24" s="12"/>
      <c r="Q24" s="12"/>
      <c r="R24" s="12"/>
      <c r="S24" s="107"/>
      <c r="T24" s="107"/>
      <c r="U24" s="107"/>
      <c r="V24" s="12"/>
      <c r="W24" s="23"/>
      <c r="X24" s="21"/>
      <c r="Y24" s="23"/>
      <c r="Z24" s="42"/>
      <c r="AB24" s="12"/>
    </row>
    <row r="25" spans="2:29" s="14" customFormat="1">
      <c r="B25" s="186" t="s">
        <v>1016</v>
      </c>
      <c r="C25" s="184" t="s">
        <v>1017</v>
      </c>
      <c r="D25" s="179" t="s">
        <v>459</v>
      </c>
      <c r="E25" s="35"/>
      <c r="F25" s="21"/>
      <c r="G25" s="21"/>
      <c r="H25" s="20"/>
      <c r="I25" s="36"/>
      <c r="J25" s="300"/>
      <c r="K25" s="302"/>
      <c r="L25" s="302"/>
      <c r="M25" s="302"/>
      <c r="N25" s="242">
        <f t="shared" si="4"/>
        <v>0</v>
      </c>
      <c r="O25" s="12"/>
      <c r="P25" s="12"/>
      <c r="Q25" s="12"/>
      <c r="R25" s="12"/>
      <c r="S25" s="107"/>
      <c r="T25" s="107"/>
      <c r="U25" s="107"/>
      <c r="V25" s="12"/>
      <c r="X25" s="21"/>
    </row>
    <row r="26" spans="2:29" s="14" customFormat="1">
      <c r="B26" s="186" t="s">
        <v>1016</v>
      </c>
      <c r="C26" s="184" t="s">
        <v>1018</v>
      </c>
      <c r="D26" s="179" t="s">
        <v>459</v>
      </c>
      <c r="E26" s="35"/>
      <c r="F26" s="21"/>
      <c r="G26" s="21"/>
      <c r="H26" s="20"/>
      <c r="I26" s="36"/>
      <c r="J26" s="300"/>
      <c r="K26" s="302"/>
      <c r="L26" s="302"/>
      <c r="M26" s="302"/>
      <c r="N26" s="242">
        <f t="shared" si="4"/>
        <v>0</v>
      </c>
      <c r="O26" s="12"/>
      <c r="P26" s="12"/>
      <c r="Q26" s="12"/>
      <c r="R26" s="12"/>
      <c r="S26" s="107"/>
      <c r="T26" s="107"/>
      <c r="U26" s="107"/>
      <c r="V26" s="12"/>
      <c r="X26" s="21"/>
    </row>
    <row r="27" spans="2:29" s="14" customFormat="1">
      <c r="B27" s="186" t="s">
        <v>1057</v>
      </c>
      <c r="C27" s="184" t="s">
        <v>1182</v>
      </c>
      <c r="D27" s="179" t="s">
        <v>459</v>
      </c>
      <c r="E27" s="35"/>
      <c r="F27" s="34"/>
      <c r="G27" s="21"/>
      <c r="H27" s="20"/>
      <c r="I27" s="36"/>
      <c r="J27" s="300"/>
      <c r="K27" s="302"/>
      <c r="L27" s="302"/>
      <c r="M27" s="302"/>
      <c r="N27" s="242">
        <f t="shared" si="4"/>
        <v>0</v>
      </c>
      <c r="O27" s="12"/>
      <c r="P27" s="12"/>
      <c r="Q27" s="12"/>
      <c r="R27" s="12"/>
      <c r="S27" s="35">
        <v>1000</v>
      </c>
      <c r="T27" s="518"/>
      <c r="U27" s="35" t="s">
        <v>1118</v>
      </c>
      <c r="V27" s="242" t="str">
        <f>IFERROR(IF(D27="tonnes/yr", $S27*$E27/($N$20*3.6), $T27*$E27*3.6/($N$20*3.6)), "Unfilled fields to left")</f>
        <v>Unfilled fields to left</v>
      </c>
      <c r="X27" s="21"/>
    </row>
    <row r="28" spans="2:29" s="14" customFormat="1">
      <c r="B28" s="186" t="s">
        <v>1113</v>
      </c>
      <c r="C28" s="184" t="s">
        <v>1073</v>
      </c>
      <c r="D28" s="179" t="s">
        <v>459</v>
      </c>
      <c r="E28" s="35"/>
      <c r="F28" s="34"/>
      <c r="G28" s="21"/>
      <c r="H28" s="20"/>
      <c r="I28" s="36"/>
      <c r="J28" s="300"/>
      <c r="K28" s="302"/>
      <c r="L28" s="302"/>
      <c r="M28" s="302"/>
      <c r="N28" s="242">
        <f t="shared" si="4"/>
        <v>0</v>
      </c>
      <c r="O28" s="12"/>
      <c r="P28" s="12"/>
      <c r="Q28" s="12"/>
      <c r="R28" s="12"/>
      <c r="S28" s="35">
        <v>28000</v>
      </c>
      <c r="T28" s="518"/>
      <c r="U28" s="35" t="s">
        <v>1059</v>
      </c>
      <c r="V28" s="242" t="str">
        <f>IFERROR(IF(D28="tonnes/yr", $S28*$E28/($N$20*3.6), $T28*$E28*3.6/($N$20*3.6)), "Unfilled fields to left")</f>
        <v>Unfilled fields to left</v>
      </c>
      <c r="X28" s="21"/>
    </row>
    <row r="29" spans="2:29" s="14" customFormat="1">
      <c r="B29" s="186" t="s">
        <v>1113</v>
      </c>
      <c r="C29" s="184" t="s">
        <v>1075</v>
      </c>
      <c r="D29" s="179" t="s">
        <v>459</v>
      </c>
      <c r="E29" s="35"/>
      <c r="F29" s="21"/>
      <c r="G29" s="21"/>
      <c r="H29" s="20"/>
      <c r="I29" s="36"/>
      <c r="J29" s="300"/>
      <c r="K29" s="302"/>
      <c r="L29" s="302"/>
      <c r="M29" s="302"/>
      <c r="N29" s="242">
        <f t="shared" si="4"/>
        <v>0</v>
      </c>
      <c r="O29" s="12"/>
      <c r="P29" s="12"/>
      <c r="Q29" s="12"/>
      <c r="R29" s="12"/>
      <c r="S29" s="35">
        <v>265000</v>
      </c>
      <c r="T29" s="518"/>
      <c r="U29" s="35" t="s">
        <v>1059</v>
      </c>
      <c r="V29" s="242" t="str">
        <f>IFERROR(IF(D29="tonnes/yr", $S29*$E29/($N$20*3.6), $T29*$E29*3.6/($N$20*3.6)), "Unfilled fields to left")</f>
        <v>Unfilled fields to left</v>
      </c>
      <c r="X29" s="21"/>
    </row>
    <row r="30" spans="2:29" s="14" customFormat="1">
      <c r="B30" s="16"/>
      <c r="C30" s="15"/>
      <c r="D30" s="179"/>
      <c r="E30" s="35"/>
      <c r="F30" s="21"/>
      <c r="G30" s="21"/>
      <c r="H30" s="20"/>
      <c r="I30" s="36"/>
      <c r="J30" s="300"/>
      <c r="K30" s="302"/>
      <c r="L30" s="302"/>
      <c r="M30" s="302"/>
      <c r="N30" s="242">
        <f t="shared" si="4"/>
        <v>0</v>
      </c>
      <c r="O30" s="12"/>
      <c r="P30" s="12"/>
      <c r="Q30" s="12"/>
      <c r="R30" s="12"/>
      <c r="S30" s="300"/>
      <c r="T30" s="477"/>
      <c r="U30" s="302"/>
      <c r="V30" s="242" t="str">
        <f>IFERROR(IF(D30="tonnes/yr", $S30*$E30/($N$20*3.6), $T30*$E30*3.6/($N$20*3.6)), "Unfilled fields to left")</f>
        <v>Unfilled fields to left</v>
      </c>
      <c r="X30" s="21"/>
    </row>
    <row r="31" spans="2:29" s="14" customFormat="1">
      <c r="B31" s="16"/>
      <c r="C31" s="15"/>
      <c r="D31" s="179"/>
      <c r="E31" s="35"/>
      <c r="F31" s="21"/>
      <c r="G31" s="21"/>
      <c r="H31" s="20"/>
      <c r="I31" s="36"/>
      <c r="J31" s="300"/>
      <c r="K31" s="302"/>
      <c r="L31" s="302"/>
      <c r="M31" s="302"/>
      <c r="N31" s="242">
        <f t="shared" si="4"/>
        <v>0</v>
      </c>
      <c r="O31" s="12"/>
      <c r="P31" s="12"/>
      <c r="Q31" s="12"/>
      <c r="R31" s="12"/>
      <c r="S31" s="300"/>
      <c r="T31" s="477"/>
      <c r="U31" s="302"/>
      <c r="V31" s="242" t="str">
        <f>IFERROR(IF(D31="tonnes/yr", $S31*$E31/($N$20*3.6), $T31*$E31*3.6/($N$20*3.6)), "Unfilled fields to left")</f>
        <v>Unfilled fields to left</v>
      </c>
      <c r="X31" s="21"/>
    </row>
    <row r="32" spans="2:29">
      <c r="C32" s="17"/>
      <c r="D32" s="17"/>
      <c r="E32" s="140"/>
      <c r="F32" s="17"/>
      <c r="H32" s="18"/>
      <c r="I32" s="18"/>
      <c r="J32" s="40"/>
      <c r="K32" s="40"/>
      <c r="L32" s="40"/>
      <c r="M32" s="40"/>
      <c r="N32" s="40"/>
      <c r="O32" s="12"/>
      <c r="P32" s="12"/>
      <c r="S32" s="40"/>
      <c r="T32" s="40"/>
      <c r="U32" s="40"/>
      <c r="V32" s="40"/>
      <c r="Y32" s="12"/>
    </row>
    <row r="33" spans="2:25">
      <c r="D33" s="17"/>
      <c r="E33" s="140"/>
      <c r="J33" s="39"/>
      <c r="K33" s="39"/>
      <c r="L33" s="39"/>
      <c r="M33" s="39"/>
      <c r="O33" s="12"/>
      <c r="P33" s="12"/>
      <c r="S33" s="39"/>
      <c r="T33" s="39"/>
      <c r="U33" s="38" t="s">
        <v>1114</v>
      </c>
      <c r="V33" s="153">
        <f>SUM(V7:V32)</f>
        <v>0</v>
      </c>
      <c r="Y33" s="12"/>
    </row>
    <row r="34" spans="2:25">
      <c r="B34" s="145" t="s">
        <v>132</v>
      </c>
      <c r="C34" s="159"/>
      <c r="D34" s="159"/>
      <c r="E34" s="499"/>
      <c r="I34" s="12"/>
      <c r="J34" s="107"/>
      <c r="K34" s="107"/>
      <c r="L34" s="107"/>
      <c r="M34" s="107"/>
      <c r="N34" s="107"/>
      <c r="O34" s="12"/>
      <c r="P34" s="12"/>
      <c r="S34" s="107"/>
      <c r="T34" s="107"/>
      <c r="U34" s="107"/>
      <c r="Y34" s="12"/>
    </row>
    <row r="35" spans="2:25">
      <c r="B35" s="16" t="s">
        <v>1086</v>
      </c>
      <c r="C35" s="15" t="s">
        <v>1087</v>
      </c>
      <c r="D35" s="15" t="s">
        <v>1088</v>
      </c>
      <c r="E35" s="501"/>
      <c r="G35" s="19"/>
      <c r="H35" s="12"/>
      <c r="I35" s="12"/>
      <c r="J35" s="107"/>
      <c r="K35" s="107"/>
      <c r="L35" s="107"/>
      <c r="M35" s="107"/>
      <c r="N35" s="107"/>
      <c r="O35" s="12"/>
      <c r="P35" s="12"/>
      <c r="S35" s="107"/>
      <c r="T35" s="107"/>
      <c r="U35" s="107"/>
      <c r="V35" s="12"/>
      <c r="X35" s="25"/>
      <c r="Y35" s="12"/>
    </row>
    <row r="36" spans="2:25">
      <c r="B36" s="16" t="s">
        <v>1119</v>
      </c>
      <c r="C36" s="15" t="s">
        <v>1120</v>
      </c>
      <c r="D36" s="15" t="s">
        <v>299</v>
      </c>
      <c r="E36" s="501"/>
      <c r="H36" s="12"/>
      <c r="I36" s="12"/>
      <c r="J36" s="107"/>
      <c r="K36" s="107"/>
      <c r="L36" s="107"/>
      <c r="M36" s="107"/>
      <c r="N36" s="107"/>
      <c r="O36" s="12"/>
      <c r="P36" s="12"/>
      <c r="S36" s="107"/>
      <c r="T36" s="107"/>
      <c r="U36" s="107"/>
      <c r="V36" s="12"/>
      <c r="X36" s="25"/>
      <c r="Y36" s="12"/>
    </row>
    <row r="37" spans="2:25">
      <c r="B37" s="16"/>
      <c r="C37" s="15"/>
      <c r="D37" s="15"/>
      <c r="E37" s="507"/>
      <c r="J37" s="39"/>
      <c r="K37" s="39"/>
      <c r="L37" s="39"/>
      <c r="M37" s="39"/>
      <c r="S37" s="39"/>
      <c r="T37" s="39"/>
      <c r="U37" s="39"/>
      <c r="X37" s="25"/>
    </row>
    <row r="38" spans="2:25">
      <c r="B38" s="16"/>
      <c r="C38" s="15"/>
      <c r="D38" s="15"/>
      <c r="E38" s="507"/>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I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I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35286FBF-9E60-40D1-8C11-64AFE59AF997}">
      <formula1>Flow_units</formula1>
    </dataValidation>
    <dataValidation type="custom" allowBlank="1" showInputMessage="1" showErrorMessage="1" error="Please do not change this formula" prompt="Please do not change this formula" sqref="V6:V1048576 W4 V1:V4 S5:V5" xr:uid="{69884190-28A8-4955-A4AF-1B71C516EF7D}">
      <formula1>"Please do not change this formula"</formula1>
    </dataValidation>
    <dataValidation type="custom" allowBlank="1" showInputMessage="1" showErrorMessage="1" error="Please do not change this formula" sqref="R6:R19 R23:R1048576 N1:N1048576 O1:R5 O6:Q1048576" xr:uid="{2FC5848C-5F4A-4312-8E2A-0CEE5CFA4588}">
      <formula1>"Please do not change this formula"</formula1>
    </dataValidation>
    <dataValidation type="custom" allowBlank="1" showInputMessage="1" showErrorMessage="1" error="Please do not change" sqref="R20:R22" xr:uid="{954B8704-36BF-425F-AE90-76935EA3C153}">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321880D3-75DB-4E7B-95E8-D3FC3A903E9A}">
      <formula1>0</formula1>
    </dataValidation>
  </dataValidations>
  <hyperlinks>
    <hyperlink ref="I2:J2" location="'Waste Pre-Processing'!A1" display="Go to the next step of this pathway" xr:uid="{C197C49B-78EF-433B-9407-8CCE21CEFD9F}"/>
    <hyperlink ref="I2:K2" location="'Waste_Pre-Processing'!A1" display="Go to the next step of this pathway" xr:uid="{A810C962-7A66-4969-9246-E2DBBFC600C2}"/>
  </hyperlinks>
  <pageMargins left="0" right="0" top="0" bottom="0" header="0" footer="0"/>
  <pageSetup paperSize="9" orientation="portrait" r:id="rId10"/>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3300-000001000000}">
            <xm:f>AND(Path&lt;&gt;Units!$B$137, Path &lt;&gt;Units!$B$138,Master_Switch="On")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4" id="{00000000-000E-0000-2A00-000003000000}">
            <xm:f>AND(OR(GHG_WASTE_GASIFICATION!$D$5="Default",GHG_WASTE_GASIFICATION!$D$27="Default"),Master_Switch="On")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B93EB-951D-4037-83D4-26507FFF83F5}">
  <sheetPr codeName="Sheet36">
    <tabColor theme="7" tint="0.59999389629810485"/>
  </sheetPr>
  <dimension ref="A1:AC204"/>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55"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17.81640625" customWidth="1"/>
    <col min="16" max="16" width="9.26953125" style="12" customWidth="1"/>
    <col min="17" max="17" width="18.81640625" style="12" customWidth="1"/>
    <col min="18" max="18" width="17.54296875" style="12" customWidth="1"/>
    <col min="19" max="20" width="20.7265625" style="13" customWidth="1"/>
    <col min="21" max="21" width="22.7265625" style="13" customWidth="1"/>
    <col min="22" max="22" width="20.26953125" style="39" customWidth="1"/>
    <col min="23" max="23" width="7.1796875" style="12" customWidth="1"/>
    <col min="24" max="24" width="26" style="12" customWidth="1"/>
    <col min="26" max="16384" width="7.1796875" style="12"/>
  </cols>
  <sheetData>
    <row r="1" spans="1:29" ht="31.9" customHeight="1">
      <c r="A1" s="80" t="str">
        <f>IF(AND(Path&lt;&gt;Units!$B$137,Path&lt;&gt;Units!$B$138,Master_Switch="On"),"User should not fill in this sheet, but switch to other non-blank GHG worksheets","")</f>
        <v>User should not fill in this sheet, but switch to other non-blank GHG worksheets</v>
      </c>
      <c r="E1" s="256"/>
    </row>
    <row r="2" spans="1:29" ht="20.5" customHeight="1">
      <c r="B2" s="80" t="str">
        <f>IF(AND(OR(GHG_WASTE_GASIFICATION!$D$5="Default",GHG_WASTE_GASIFICATION!$D$27="Default"),Master_Switch="On"),"Default data selected for this step, move to the next step of the pathway","")</f>
        <v/>
      </c>
      <c r="E2" s="256"/>
      <c r="I2" s="729" t="s">
        <v>1093</v>
      </c>
      <c r="J2" s="731"/>
      <c r="K2" s="732"/>
      <c r="L2" s="39"/>
      <c r="M2" s="39"/>
    </row>
    <row r="3" spans="1:29" ht="15" customHeight="1">
      <c r="E3" s="256"/>
      <c r="L3" s="39"/>
      <c r="M3" s="39"/>
    </row>
    <row r="4" spans="1:29" ht="15.65" customHeight="1" thickBot="1">
      <c r="B4" s="3"/>
      <c r="C4" s="3"/>
      <c r="D4" s="3"/>
      <c r="E4" s="455"/>
      <c r="F4" s="3"/>
      <c r="G4" s="3"/>
      <c r="H4" s="1"/>
      <c r="I4" s="1"/>
      <c r="J4" s="1"/>
      <c r="K4" s="1"/>
      <c r="L4" s="1"/>
      <c r="M4" s="1"/>
      <c r="N4" s="37"/>
      <c r="O4" s="1"/>
      <c r="P4" s="3"/>
      <c r="Q4" s="3"/>
      <c r="R4" s="3"/>
      <c r="S4" s="1"/>
      <c r="T4" s="1"/>
      <c r="U4" s="1"/>
      <c r="V4" s="37"/>
      <c r="W4" s="37"/>
      <c r="X4" s="3"/>
    </row>
    <row r="5" spans="1:29"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9" ht="15" thickTop="1">
      <c r="E6" s="457"/>
      <c r="R6"/>
      <c r="S6"/>
      <c r="T6"/>
      <c r="U6"/>
      <c r="V6"/>
    </row>
    <row r="7" spans="1:29">
      <c r="B7" s="145" t="s">
        <v>1097</v>
      </c>
      <c r="C7" s="145"/>
      <c r="D7" s="145"/>
      <c r="E7" s="324"/>
      <c r="F7" s="145"/>
      <c r="G7" s="145"/>
      <c r="H7" s="145"/>
      <c r="I7" s="145"/>
      <c r="J7" s="145"/>
      <c r="K7" s="145"/>
      <c r="L7" s="145"/>
      <c r="M7" s="145"/>
      <c r="N7" s="301"/>
      <c r="R7"/>
      <c r="S7"/>
      <c r="T7"/>
      <c r="U7"/>
      <c r="V7"/>
      <c r="W7" s="19"/>
      <c r="X7" s="19"/>
      <c r="Y7" s="19"/>
      <c r="Z7" s="19"/>
      <c r="AA7" s="19"/>
      <c r="AB7" s="19"/>
      <c r="AC7" s="19"/>
    </row>
    <row r="8" spans="1:29">
      <c r="B8" s="16" t="s">
        <v>1115</v>
      </c>
      <c r="C8" s="184" t="s">
        <v>1244</v>
      </c>
      <c r="D8" s="179" t="s">
        <v>459</v>
      </c>
      <c r="E8" s="35"/>
      <c r="F8" s="21"/>
      <c r="G8" s="21"/>
      <c r="H8" s="20"/>
      <c r="I8" s="20"/>
      <c r="J8" s="300"/>
      <c r="K8" s="302"/>
      <c r="L8" s="302"/>
      <c r="M8" s="302"/>
      <c r="N8" s="242">
        <f t="shared" ref="N8:N17" si="0">IF($D8="MWh/yr (LHV)",$E8,$J8*$E8*(1-$L8)/Conversion_kWh_to_MJ)</f>
        <v>0</v>
      </c>
      <c r="O8" s="12"/>
      <c r="S8" s="107"/>
      <c r="T8" s="107"/>
      <c r="U8" s="107"/>
      <c r="V8" s="360" t="s">
        <v>1037</v>
      </c>
      <c r="X8" s="24"/>
      <c r="Y8" s="12"/>
    </row>
    <row r="9" spans="1:29">
      <c r="B9" s="186" t="s">
        <v>1021</v>
      </c>
      <c r="C9" s="184" t="s">
        <v>1218</v>
      </c>
      <c r="D9" s="179" t="s">
        <v>479</v>
      </c>
      <c r="E9" s="35"/>
      <c r="F9" s="21"/>
      <c r="G9" s="21"/>
      <c r="H9" s="20"/>
      <c r="I9" s="36"/>
      <c r="J9" s="300"/>
      <c r="K9" s="302"/>
      <c r="L9" s="302"/>
      <c r="M9" s="302"/>
      <c r="N9" s="242">
        <f t="shared" si="0"/>
        <v>0</v>
      </c>
      <c r="O9" s="12"/>
      <c r="S9" s="35" t="str">
        <f t="shared" ref="S9:S17" si="1">IF(B9="", "", IF(D9="MWh/yr (LHV)", "Use column to right", "Enter data here"))</f>
        <v>Use column to right</v>
      </c>
      <c r="T9" s="35" t="e">
        <f>INDEX(Proj_grid_intensity_kWh,MATCH(Operations_year,Proj_grid_year,0))/Conversion_kWh_to_MJ</f>
        <v>#N/A</v>
      </c>
      <c r="U9" s="35" t="s">
        <v>1064</v>
      </c>
      <c r="V9" s="242" t="str">
        <f t="shared" ref="V9:V17" si="2">IFERROR(IF(D9="tonnes/yr", $S9*$E9/($N$20*3.6), $T9*$E9*3.6/($N$20*3.6)), "Unfilled fields to left")</f>
        <v>Unfilled fields to left</v>
      </c>
      <c r="X9" s="25"/>
      <c r="Y9" s="12"/>
    </row>
    <row r="10" spans="1:29">
      <c r="B10" s="186" t="s">
        <v>1021</v>
      </c>
      <c r="C10" s="184" t="s">
        <v>1061</v>
      </c>
      <c r="D10" s="179" t="s">
        <v>479</v>
      </c>
      <c r="E10" s="35"/>
      <c r="F10" s="21"/>
      <c r="G10" s="21"/>
      <c r="H10" s="20"/>
      <c r="I10" s="36"/>
      <c r="J10" s="300"/>
      <c r="K10" s="302"/>
      <c r="L10" s="302"/>
      <c r="M10" s="302"/>
      <c r="N10" s="242">
        <f t="shared" si="0"/>
        <v>0</v>
      </c>
      <c r="O10" s="12"/>
      <c r="S10" s="35" t="str">
        <f t="shared" si="1"/>
        <v>Use column to right</v>
      </c>
      <c r="T10" s="35" t="e">
        <f>INDEX(Proj_grid_intensity_kWh,MATCH(Operations_year,Proj_grid_year,0))/Conversion_kWh_to_MJ</f>
        <v>#N/A</v>
      </c>
      <c r="U10" s="35" t="s">
        <v>1064</v>
      </c>
      <c r="V10" s="242" t="str">
        <f t="shared" si="2"/>
        <v>Unfilled fields to left</v>
      </c>
      <c r="X10" s="25"/>
      <c r="Y10" s="12"/>
    </row>
    <row r="11" spans="1:29">
      <c r="B11" s="186" t="s">
        <v>1042</v>
      </c>
      <c r="C11" s="184" t="s">
        <v>1043</v>
      </c>
      <c r="D11" s="179" t="s">
        <v>479</v>
      </c>
      <c r="E11" s="35"/>
      <c r="F11" s="21"/>
      <c r="G11" s="21"/>
      <c r="H11" s="20"/>
      <c r="I11" s="36"/>
      <c r="J11" s="300"/>
      <c r="K11" s="302"/>
      <c r="L11" s="302"/>
      <c r="M11" s="302"/>
      <c r="N11" s="242">
        <f t="shared" si="0"/>
        <v>0</v>
      </c>
      <c r="O11" s="12"/>
      <c r="S11" s="35" t="str">
        <f t="shared" si="1"/>
        <v>Use column to right</v>
      </c>
      <c r="T11" s="35" t="str">
        <f t="shared" ref="T11:T17" si="3">IF(B11="", "", IF(D11="MWh/yr (LHV)", "Enter data here", "Use column to left"))</f>
        <v>Enter data here</v>
      </c>
      <c r="U11" s="35" t="s">
        <v>1100</v>
      </c>
      <c r="V11" s="242" t="str">
        <f t="shared" si="2"/>
        <v>Unfilled fields to left</v>
      </c>
      <c r="X11" s="25"/>
      <c r="Y11" s="12"/>
    </row>
    <row r="12" spans="1:29">
      <c r="B12" s="186" t="s">
        <v>1042</v>
      </c>
      <c r="C12" s="184" t="s">
        <v>1045</v>
      </c>
      <c r="D12" s="179" t="s">
        <v>459</v>
      </c>
      <c r="E12" s="35"/>
      <c r="F12" s="21"/>
      <c r="G12" s="21"/>
      <c r="H12" s="20"/>
      <c r="I12" s="36"/>
      <c r="J12" s="300"/>
      <c r="K12" s="302"/>
      <c r="L12" s="302"/>
      <c r="M12" s="302"/>
      <c r="N12" s="242">
        <f t="shared" si="0"/>
        <v>0</v>
      </c>
      <c r="O12" s="12"/>
      <c r="S12" s="35" t="str">
        <f t="shared" si="1"/>
        <v>Enter data here</v>
      </c>
      <c r="T12" s="35" t="str">
        <f t="shared" si="3"/>
        <v>Use column to left</v>
      </c>
      <c r="U12" s="35" t="s">
        <v>1100</v>
      </c>
      <c r="V12" s="242" t="str">
        <f t="shared" si="2"/>
        <v>Unfilled fields to left</v>
      </c>
      <c r="X12" s="25"/>
      <c r="Y12" s="12"/>
    </row>
    <row r="13" spans="1:29">
      <c r="B13" s="186" t="s">
        <v>1051</v>
      </c>
      <c r="C13" s="184" t="s">
        <v>1053</v>
      </c>
      <c r="D13" s="179" t="s">
        <v>459</v>
      </c>
      <c r="E13" s="35"/>
      <c r="F13" s="21"/>
      <c r="G13" s="21"/>
      <c r="H13" s="20"/>
      <c r="I13" s="36"/>
      <c r="J13" s="300"/>
      <c r="K13" s="302"/>
      <c r="L13" s="302"/>
      <c r="M13" s="302"/>
      <c r="N13" s="242">
        <f t="shared" si="0"/>
        <v>0</v>
      </c>
      <c r="O13" s="12"/>
      <c r="S13" s="35" t="str">
        <f t="shared" si="1"/>
        <v>Enter data here</v>
      </c>
      <c r="T13" s="35" t="str">
        <f t="shared" si="3"/>
        <v>Use column to left</v>
      </c>
      <c r="U13" s="35" t="s">
        <v>1100</v>
      </c>
      <c r="V13" s="242" t="str">
        <f t="shared" si="2"/>
        <v>Unfilled fields to left</v>
      </c>
      <c r="X13" s="25"/>
      <c r="Y13" s="12"/>
    </row>
    <row r="14" spans="1:29">
      <c r="B14" s="186" t="s">
        <v>1051</v>
      </c>
      <c r="C14" s="184" t="s">
        <v>1101</v>
      </c>
      <c r="D14" s="179" t="s">
        <v>459</v>
      </c>
      <c r="E14" s="35"/>
      <c r="F14" s="21"/>
      <c r="G14" s="21"/>
      <c r="H14" s="20"/>
      <c r="I14" s="36"/>
      <c r="J14" s="300"/>
      <c r="K14" s="302"/>
      <c r="L14" s="302"/>
      <c r="M14" s="302"/>
      <c r="N14" s="242">
        <f t="shared" si="0"/>
        <v>0</v>
      </c>
      <c r="O14" s="12"/>
      <c r="S14" s="35" t="str">
        <f t="shared" si="1"/>
        <v>Enter data here</v>
      </c>
      <c r="T14" s="35" t="str">
        <f t="shared" si="3"/>
        <v>Use column to left</v>
      </c>
      <c r="U14" s="35" t="s">
        <v>1100</v>
      </c>
      <c r="V14" s="242" t="str">
        <f t="shared" si="2"/>
        <v>Unfilled fields to left</v>
      </c>
      <c r="X14" s="25"/>
      <c r="Y14" s="12"/>
    </row>
    <row r="15" spans="1:29">
      <c r="B15" s="186" t="s">
        <v>1177</v>
      </c>
      <c r="C15" s="184" t="s">
        <v>1055</v>
      </c>
      <c r="D15" s="179" t="s">
        <v>459</v>
      </c>
      <c r="E15" s="35"/>
      <c r="F15" s="21"/>
      <c r="G15" s="21"/>
      <c r="H15" s="20"/>
      <c r="I15" s="36"/>
      <c r="J15" s="300"/>
      <c r="K15" s="302"/>
      <c r="L15" s="302"/>
      <c r="M15" s="302"/>
      <c r="N15" s="242">
        <f t="shared" si="0"/>
        <v>0</v>
      </c>
      <c r="O15" s="12"/>
      <c r="S15" s="35" t="str">
        <f t="shared" si="1"/>
        <v>Enter data here</v>
      </c>
      <c r="T15" s="35" t="str">
        <f t="shared" si="3"/>
        <v>Use column to left</v>
      </c>
      <c r="U15" s="35" t="s">
        <v>1100</v>
      </c>
      <c r="V15" s="242" t="str">
        <f t="shared" si="2"/>
        <v>Unfilled fields to left</v>
      </c>
      <c r="X15" s="25"/>
      <c r="Y15" s="12"/>
    </row>
    <row r="16" spans="1:29">
      <c r="B16" s="186" t="s">
        <v>1177</v>
      </c>
      <c r="C16" s="184" t="s">
        <v>1213</v>
      </c>
      <c r="D16" s="179" t="s">
        <v>459</v>
      </c>
      <c r="E16" s="35"/>
      <c r="F16" s="21"/>
      <c r="G16" s="21"/>
      <c r="H16" s="20"/>
      <c r="I16" s="36"/>
      <c r="J16" s="300"/>
      <c r="K16" s="302"/>
      <c r="L16" s="302"/>
      <c r="M16" s="302"/>
      <c r="N16" s="242">
        <f t="shared" si="0"/>
        <v>0</v>
      </c>
      <c r="O16" s="12"/>
      <c r="S16" s="35" t="str">
        <f t="shared" si="1"/>
        <v>Enter data here</v>
      </c>
      <c r="T16" s="35" t="str">
        <f t="shared" si="3"/>
        <v>Use column to left</v>
      </c>
      <c r="U16" s="35" t="s">
        <v>1100</v>
      </c>
      <c r="V16" s="242" t="str">
        <f t="shared" si="2"/>
        <v>Unfilled fields to left</v>
      </c>
      <c r="X16" s="25"/>
      <c r="Y16" s="12"/>
    </row>
    <row r="17" spans="2:29">
      <c r="B17" s="16"/>
      <c r="C17" s="15"/>
      <c r="D17" s="179"/>
      <c r="E17" s="35"/>
      <c r="F17" s="21"/>
      <c r="G17" s="21"/>
      <c r="H17" s="20"/>
      <c r="I17" s="36"/>
      <c r="J17" s="300"/>
      <c r="K17" s="302"/>
      <c r="L17" s="302"/>
      <c r="M17" s="302"/>
      <c r="N17" s="242">
        <f t="shared" si="0"/>
        <v>0</v>
      </c>
      <c r="O17" s="12"/>
      <c r="S17" s="35" t="str">
        <f t="shared" si="1"/>
        <v/>
      </c>
      <c r="T17" s="35" t="str">
        <f t="shared" si="3"/>
        <v/>
      </c>
      <c r="U17" s="35"/>
      <c r="V17" s="242" t="str">
        <f t="shared" si="2"/>
        <v>Unfilled fields to left</v>
      </c>
      <c r="X17" s="25"/>
      <c r="Y17" s="12"/>
    </row>
    <row r="18" spans="2:29">
      <c r="C18" s="17"/>
      <c r="D18" s="17"/>
      <c r="E18" s="506"/>
      <c r="F18" s="26"/>
      <c r="G18" s="27"/>
      <c r="H18" s="22"/>
      <c r="I18" s="22"/>
      <c r="J18" s="41"/>
      <c r="K18" s="41"/>
      <c r="L18" s="41"/>
      <c r="M18" s="41"/>
      <c r="N18" s="41"/>
      <c r="O18" s="12"/>
      <c r="S18" s="41"/>
      <c r="T18" s="41"/>
      <c r="U18" s="41"/>
      <c r="V18" s="41"/>
      <c r="X18" s="27"/>
      <c r="Y18" s="12"/>
    </row>
    <row r="19" spans="2:29">
      <c r="B19" s="145" t="s">
        <v>1103</v>
      </c>
      <c r="C19" s="145"/>
      <c r="D19" s="145"/>
      <c r="E19" s="301"/>
      <c r="F19" s="145"/>
      <c r="G19" s="145"/>
      <c r="H19" s="145"/>
      <c r="I19" s="145"/>
      <c r="J19" s="301"/>
      <c r="K19" s="301"/>
      <c r="L19" s="301"/>
      <c r="M19" s="301"/>
      <c r="N19" s="301"/>
      <c r="R19"/>
      <c r="S19" s="40"/>
      <c r="T19" s="40"/>
      <c r="U19" s="40"/>
      <c r="V19" s="40"/>
      <c r="W19" s="19"/>
      <c r="X19" s="19"/>
      <c r="Y19" s="19"/>
      <c r="Z19" s="19"/>
      <c r="AA19" s="19"/>
      <c r="AB19" s="19"/>
      <c r="AC19" s="19"/>
    </row>
    <row r="20" spans="2:29">
      <c r="B20" s="16" t="s">
        <v>1104</v>
      </c>
      <c r="C20" s="184" t="s">
        <v>1245</v>
      </c>
      <c r="D20" s="179" t="s">
        <v>459</v>
      </c>
      <c r="E20" s="35"/>
      <c r="F20" s="21"/>
      <c r="G20" s="21"/>
      <c r="H20" s="21"/>
      <c r="I20" s="21"/>
      <c r="J20" s="300"/>
      <c r="K20" s="306"/>
      <c r="L20" s="306"/>
      <c r="M20" s="306"/>
      <c r="N20" s="242">
        <f t="shared" ref="N20:N34" si="4">IF($D20="MWh/yr (LHV)",$E20,$J20*$E20*(1-$L20)/Conversion_kWh_to_MJ)</f>
        <v>0</v>
      </c>
      <c r="O20" s="246" t="str">
        <f>IFERROR(N20/N8,"")</f>
        <v/>
      </c>
      <c r="Q20" s="515">
        <f>IF($D20="MWh/yr (LHV)",$E20,$E20*MAX(0, $J20*(1-$L20)-2.441*$L20)/Conversion_kWh_to_MJ)</f>
        <v>0</v>
      </c>
      <c r="R20" s="245" t="str">
        <f>IFERROR(Q20/(SUM($Q$20:$Q$22)),"")</f>
        <v/>
      </c>
      <c r="S20" s="42"/>
      <c r="T20" s="42"/>
      <c r="U20" s="42"/>
      <c r="V20" s="42"/>
      <c r="X20" s="21"/>
      <c r="Y20" s="12"/>
    </row>
    <row r="21" spans="2:29" s="14" customFormat="1">
      <c r="B21" s="186" t="s">
        <v>1008</v>
      </c>
      <c r="C21" s="184" t="s">
        <v>1106</v>
      </c>
      <c r="D21" s="179" t="s">
        <v>459</v>
      </c>
      <c r="E21" s="35"/>
      <c r="F21" s="21"/>
      <c r="G21" s="21"/>
      <c r="H21" s="20"/>
      <c r="I21" s="33"/>
      <c r="J21" s="300"/>
      <c r="K21" s="302"/>
      <c r="L21" s="302"/>
      <c r="M21" s="302"/>
      <c r="N21" s="242">
        <f t="shared" si="4"/>
        <v>0</v>
      </c>
      <c r="O21" s="12"/>
      <c r="P21" s="12"/>
      <c r="Q21" s="515">
        <f>IF($D21="MWh/yr (LHV)",$E21,$E21*MAX(0, $J21*(1-$L21)-2.441*$L21)/Conversion_kWh_to_MJ)</f>
        <v>0</v>
      </c>
      <c r="R21" s="245" t="str">
        <f t="shared" ref="R21:R22" si="5">IFERROR(Q21/(SUM($Q$20:$Q$22)),"")</f>
        <v/>
      </c>
      <c r="S21" s="42"/>
      <c r="T21" s="42"/>
      <c r="U21" s="107"/>
      <c r="V21" s="12"/>
      <c r="W21" s="23"/>
      <c r="X21" s="21"/>
      <c r="Y21" s="23"/>
      <c r="Z21" s="42"/>
      <c r="AB21" s="12"/>
    </row>
    <row r="22" spans="2:29" s="14" customFormat="1">
      <c r="B22" s="186" t="s">
        <v>1008</v>
      </c>
      <c r="C22" s="184" t="s">
        <v>1107</v>
      </c>
      <c r="D22" s="179" t="s">
        <v>459</v>
      </c>
      <c r="E22" s="35"/>
      <c r="F22" s="21"/>
      <c r="G22" s="21"/>
      <c r="H22" s="20"/>
      <c r="I22" s="20"/>
      <c r="J22" s="302"/>
      <c r="K22" s="302"/>
      <c r="L22" s="302"/>
      <c r="M22" s="302"/>
      <c r="N22" s="242">
        <f t="shared" si="4"/>
        <v>0</v>
      </c>
      <c r="O22" s="12"/>
      <c r="P22" s="12"/>
      <c r="Q22" s="515">
        <f>IF($D22="MWh/yr (LHV)",$E22,$E22*MAX(0, $J22*(1-$L22)-2.441*$L22)/Conversion_kWh_to_MJ)</f>
        <v>0</v>
      </c>
      <c r="R22" s="245" t="str">
        <f t="shared" si="5"/>
        <v/>
      </c>
      <c r="S22" s="42"/>
      <c r="T22" s="42"/>
      <c r="U22" s="107"/>
      <c r="V22" s="12"/>
      <c r="W22" s="23"/>
      <c r="X22" s="21"/>
      <c r="Y22" s="23"/>
      <c r="Z22" s="42"/>
      <c r="AB22" s="12"/>
    </row>
    <row r="23" spans="2:29" s="14" customFormat="1">
      <c r="B23" s="186" t="s">
        <v>1013</v>
      </c>
      <c r="C23" s="184" t="s">
        <v>1108</v>
      </c>
      <c r="D23" s="179" t="s">
        <v>459</v>
      </c>
      <c r="E23" s="35"/>
      <c r="F23" s="21"/>
      <c r="G23" s="21"/>
      <c r="H23" s="20"/>
      <c r="I23" s="20"/>
      <c r="J23" s="302"/>
      <c r="K23" s="302"/>
      <c r="L23" s="302"/>
      <c r="M23" s="302"/>
      <c r="N23" s="242">
        <f t="shared" si="4"/>
        <v>0</v>
      </c>
      <c r="O23" s="12"/>
      <c r="P23" s="12"/>
      <c r="Q23" s="12"/>
      <c r="R23" s="12"/>
      <c r="S23" s="107"/>
      <c r="T23" s="107"/>
      <c r="U23" s="107"/>
      <c r="V23" s="12"/>
      <c r="W23" s="23"/>
      <c r="X23" s="21"/>
      <c r="Y23" s="23"/>
      <c r="Z23" s="42"/>
      <c r="AB23" s="12"/>
    </row>
    <row r="24" spans="2:29" s="14" customFormat="1">
      <c r="B24" s="186" t="s">
        <v>1013</v>
      </c>
      <c r="C24" s="184" t="s">
        <v>1015</v>
      </c>
      <c r="D24" s="179" t="s">
        <v>459</v>
      </c>
      <c r="E24" s="35"/>
      <c r="F24" s="21"/>
      <c r="G24" s="21"/>
      <c r="H24" s="20"/>
      <c r="I24" s="20"/>
      <c r="J24" s="302"/>
      <c r="K24" s="302"/>
      <c r="L24" s="302"/>
      <c r="M24" s="302"/>
      <c r="N24" s="242">
        <f t="shared" si="4"/>
        <v>0</v>
      </c>
      <c r="O24" s="12"/>
      <c r="P24" s="12"/>
      <c r="Q24" s="12"/>
      <c r="R24" s="12"/>
      <c r="S24" s="107"/>
      <c r="T24" s="107"/>
      <c r="U24" s="107"/>
      <c r="V24" s="12"/>
      <c r="W24" s="23"/>
      <c r="X24" s="21"/>
      <c r="Y24" s="23"/>
      <c r="Z24" s="42"/>
      <c r="AB24" s="12"/>
    </row>
    <row r="25" spans="2:29" s="14" customFormat="1">
      <c r="B25" s="186" t="s">
        <v>1016</v>
      </c>
      <c r="C25" s="184" t="s">
        <v>1017</v>
      </c>
      <c r="D25" s="179" t="s">
        <v>459</v>
      </c>
      <c r="E25" s="35"/>
      <c r="F25" s="21"/>
      <c r="G25" s="21"/>
      <c r="H25" s="20"/>
      <c r="I25" s="36"/>
      <c r="J25" s="300"/>
      <c r="K25" s="302"/>
      <c r="L25" s="302"/>
      <c r="M25" s="302"/>
      <c r="N25" s="242">
        <f t="shared" si="4"/>
        <v>0</v>
      </c>
      <c r="O25" s="12"/>
      <c r="P25" s="12"/>
      <c r="Q25" s="12"/>
      <c r="R25" s="12"/>
      <c r="S25" s="107"/>
      <c r="T25" s="107"/>
      <c r="U25" s="107"/>
      <c r="V25" s="12"/>
      <c r="X25" s="21"/>
    </row>
    <row r="26" spans="2:29" s="14" customFormat="1">
      <c r="B26" s="186" t="s">
        <v>1016</v>
      </c>
      <c r="C26" s="184" t="s">
        <v>1018</v>
      </c>
      <c r="D26" s="179" t="s">
        <v>459</v>
      </c>
      <c r="E26" s="35"/>
      <c r="F26" s="21"/>
      <c r="G26" s="21"/>
      <c r="H26" s="20"/>
      <c r="I26" s="36"/>
      <c r="J26" s="300"/>
      <c r="K26" s="302"/>
      <c r="L26" s="302"/>
      <c r="M26" s="302"/>
      <c r="N26" s="242">
        <f t="shared" si="4"/>
        <v>0</v>
      </c>
      <c r="O26" s="12"/>
      <c r="P26" s="12"/>
      <c r="Q26" s="12"/>
      <c r="R26" s="12"/>
      <c r="S26" s="107"/>
      <c r="T26" s="107"/>
      <c r="U26" s="107"/>
      <c r="V26" s="360" t="s">
        <v>1037</v>
      </c>
      <c r="X26" s="21"/>
    </row>
    <row r="27" spans="2:29" s="14" customFormat="1">
      <c r="B27" s="186" t="s">
        <v>1057</v>
      </c>
      <c r="C27" s="184" t="s">
        <v>1246</v>
      </c>
      <c r="D27" s="179" t="s">
        <v>459</v>
      </c>
      <c r="E27" s="35"/>
      <c r="F27" s="34"/>
      <c r="G27" s="21"/>
      <c r="H27" s="20"/>
      <c r="I27" s="36"/>
      <c r="J27" s="300"/>
      <c r="K27" s="302"/>
      <c r="L27" s="302"/>
      <c r="M27" s="302"/>
      <c r="N27" s="242">
        <f t="shared" si="4"/>
        <v>0</v>
      </c>
      <c r="O27" s="12"/>
      <c r="P27" s="12"/>
      <c r="Q27" s="12"/>
      <c r="R27" s="12"/>
      <c r="S27" s="35">
        <v>0</v>
      </c>
      <c r="T27" s="518"/>
      <c r="U27" s="35" t="s">
        <v>1200</v>
      </c>
      <c r="V27" s="242" t="str">
        <f t="shared" ref="V27:V34" si="6">IFERROR(IF(D27="tonnes/yr", $S27*$E27/($N$20*3.6), $T27*$E27*3.6/($N$20*3.6)), "Unfilled fields to left")</f>
        <v>Unfilled fields to left</v>
      </c>
      <c r="X27" s="21"/>
    </row>
    <row r="28" spans="2:29" s="14" customFormat="1">
      <c r="B28" s="186" t="s">
        <v>1057</v>
      </c>
      <c r="C28" s="184" t="s">
        <v>1247</v>
      </c>
      <c r="D28" s="179" t="s">
        <v>459</v>
      </c>
      <c r="E28" s="35"/>
      <c r="F28" s="34"/>
      <c r="G28" s="21"/>
      <c r="H28" s="20"/>
      <c r="I28" s="36"/>
      <c r="J28" s="300"/>
      <c r="K28" s="302"/>
      <c r="L28" s="302"/>
      <c r="M28" s="302"/>
      <c r="N28" s="242">
        <f t="shared" si="4"/>
        <v>0</v>
      </c>
      <c r="O28" s="12"/>
      <c r="P28" s="12"/>
      <c r="Q28" s="12"/>
      <c r="R28" s="12"/>
      <c r="S28" s="35">
        <v>1000</v>
      </c>
      <c r="T28" s="518"/>
      <c r="U28" s="35" t="s">
        <v>1118</v>
      </c>
      <c r="V28" s="242" t="str">
        <f t="shared" si="6"/>
        <v>Unfilled fields to left</v>
      </c>
      <c r="X28" s="21"/>
    </row>
    <row r="29" spans="2:29" s="14" customFormat="1">
      <c r="B29" s="186" t="s">
        <v>1070</v>
      </c>
      <c r="C29" s="184" t="s">
        <v>1248</v>
      </c>
      <c r="D29" s="179" t="s">
        <v>459</v>
      </c>
      <c r="E29" s="35">
        <f>E27*$E$50</f>
        <v>0</v>
      </c>
      <c r="F29" s="34"/>
      <c r="G29" s="21"/>
      <c r="H29" s="20"/>
      <c r="I29" s="36"/>
      <c r="J29" s="300"/>
      <c r="K29" s="302"/>
      <c r="L29" s="302"/>
      <c r="M29" s="302"/>
      <c r="N29" s="242">
        <f t="shared" si="4"/>
        <v>0</v>
      </c>
      <c r="O29" s="12"/>
      <c r="P29" s="12"/>
      <c r="Q29" s="12"/>
      <c r="R29" s="12"/>
      <c r="S29" s="35">
        <v>-1000</v>
      </c>
      <c r="T29" s="518"/>
      <c r="U29" s="35" t="s">
        <v>1203</v>
      </c>
      <c r="V29" s="242" t="str">
        <f t="shared" si="6"/>
        <v>Unfilled fields to left</v>
      </c>
      <c r="X29" s="21"/>
    </row>
    <row r="30" spans="2:29" s="14" customFormat="1">
      <c r="B30" s="186" t="s">
        <v>1070</v>
      </c>
      <c r="C30" s="184" t="s">
        <v>1249</v>
      </c>
      <c r="D30" s="179" t="s">
        <v>459</v>
      </c>
      <c r="E30" s="35">
        <f>E28*$E$50</f>
        <v>0</v>
      </c>
      <c r="F30" s="34"/>
      <c r="G30" s="21"/>
      <c r="H30" s="20"/>
      <c r="I30" s="36"/>
      <c r="J30" s="300"/>
      <c r="K30" s="302"/>
      <c r="L30" s="302"/>
      <c r="M30" s="302"/>
      <c r="N30" s="242">
        <f t="shared" si="4"/>
        <v>0</v>
      </c>
      <c r="O30" s="12"/>
      <c r="P30" s="12"/>
      <c r="Q30" s="12"/>
      <c r="R30" s="12"/>
      <c r="S30" s="35">
        <v>-1000</v>
      </c>
      <c r="T30" s="518"/>
      <c r="U30" s="35" t="s">
        <v>1204</v>
      </c>
      <c r="V30" s="242" t="str">
        <f t="shared" si="6"/>
        <v>Unfilled fields to left</v>
      </c>
      <c r="X30" s="21"/>
    </row>
    <row r="31" spans="2:29" s="14" customFormat="1">
      <c r="B31" s="186" t="s">
        <v>1113</v>
      </c>
      <c r="C31" s="184" t="s">
        <v>1073</v>
      </c>
      <c r="D31" s="179" t="s">
        <v>459</v>
      </c>
      <c r="E31" s="35"/>
      <c r="F31" s="34"/>
      <c r="G31" s="21"/>
      <c r="H31" s="20"/>
      <c r="I31" s="36"/>
      <c r="J31" s="300"/>
      <c r="K31" s="302"/>
      <c r="L31" s="302"/>
      <c r="M31" s="302"/>
      <c r="N31" s="242">
        <f t="shared" si="4"/>
        <v>0</v>
      </c>
      <c r="O31" s="12"/>
      <c r="P31" s="12"/>
      <c r="Q31" s="12"/>
      <c r="R31" s="12"/>
      <c r="S31" s="35">
        <v>28000</v>
      </c>
      <c r="T31" s="518"/>
      <c r="U31" s="35" t="s">
        <v>1059</v>
      </c>
      <c r="V31" s="242" t="str">
        <f t="shared" si="6"/>
        <v>Unfilled fields to left</v>
      </c>
      <c r="X31" s="21"/>
    </row>
    <row r="32" spans="2:29" s="14" customFormat="1">
      <c r="B32" s="186" t="s">
        <v>1113</v>
      </c>
      <c r="C32" s="184" t="s">
        <v>1075</v>
      </c>
      <c r="D32" s="179" t="s">
        <v>459</v>
      </c>
      <c r="E32" s="35"/>
      <c r="F32" s="21"/>
      <c r="G32" s="21"/>
      <c r="H32" s="20"/>
      <c r="I32" s="36"/>
      <c r="J32" s="300"/>
      <c r="K32" s="302"/>
      <c r="L32" s="302"/>
      <c r="M32" s="302"/>
      <c r="N32" s="242">
        <f t="shared" si="4"/>
        <v>0</v>
      </c>
      <c r="O32" s="12"/>
      <c r="P32" s="12"/>
      <c r="Q32" s="12"/>
      <c r="R32" s="12"/>
      <c r="S32" s="35">
        <v>265000</v>
      </c>
      <c r="T32" s="518"/>
      <c r="U32" s="35" t="s">
        <v>1059</v>
      </c>
      <c r="V32" s="242" t="str">
        <f t="shared" si="6"/>
        <v>Unfilled fields to left</v>
      </c>
      <c r="X32" s="21"/>
    </row>
    <row r="33" spans="2:25" s="14" customFormat="1">
      <c r="B33" s="16"/>
      <c r="C33" s="15"/>
      <c r="D33" s="179"/>
      <c r="E33" s="35"/>
      <c r="F33" s="21"/>
      <c r="G33" s="21"/>
      <c r="H33" s="20"/>
      <c r="I33" s="36"/>
      <c r="J33" s="300"/>
      <c r="K33" s="302"/>
      <c r="L33" s="302"/>
      <c r="M33" s="302"/>
      <c r="N33" s="242">
        <f t="shared" si="4"/>
        <v>0</v>
      </c>
      <c r="O33" s="12"/>
      <c r="P33" s="12"/>
      <c r="Q33" s="12"/>
      <c r="R33" s="12"/>
      <c r="S33" s="300"/>
      <c r="T33" s="477"/>
      <c r="U33" s="302"/>
      <c r="V33" s="242" t="str">
        <f t="shared" si="6"/>
        <v>Unfilled fields to left</v>
      </c>
      <c r="X33" s="21"/>
    </row>
    <row r="34" spans="2:25" s="14" customFormat="1">
      <c r="B34" s="16"/>
      <c r="C34" s="15"/>
      <c r="D34" s="179"/>
      <c r="E34" s="35"/>
      <c r="F34" s="21"/>
      <c r="G34" s="21"/>
      <c r="H34" s="20"/>
      <c r="I34" s="36"/>
      <c r="J34" s="300"/>
      <c r="K34" s="302"/>
      <c r="L34" s="302"/>
      <c r="M34" s="302"/>
      <c r="N34" s="242">
        <f t="shared" si="4"/>
        <v>0</v>
      </c>
      <c r="O34" s="12"/>
      <c r="P34" s="12"/>
      <c r="Q34" s="12"/>
      <c r="R34" s="12"/>
      <c r="S34" s="300"/>
      <c r="T34" s="477"/>
      <c r="U34" s="302"/>
      <c r="V34" s="242" t="str">
        <f t="shared" si="6"/>
        <v>Unfilled fields to left</v>
      </c>
      <c r="X34" s="21"/>
    </row>
    <row r="35" spans="2:25">
      <c r="C35" s="17"/>
      <c r="D35" s="17"/>
      <c r="E35" s="140"/>
      <c r="F35" s="17"/>
      <c r="H35" s="18"/>
      <c r="I35" s="18"/>
      <c r="J35" s="40"/>
      <c r="K35" s="40"/>
      <c r="L35" s="40"/>
      <c r="M35" s="40"/>
      <c r="N35" s="40"/>
      <c r="O35" s="12"/>
      <c r="S35" s="40"/>
      <c r="T35" s="40"/>
      <c r="U35" s="40"/>
      <c r="V35" s="40"/>
      <c r="Y35" s="12"/>
    </row>
    <row r="36" spans="2:25">
      <c r="B36" s="145" t="s">
        <v>1250</v>
      </c>
      <c r="C36" s="145"/>
      <c r="D36" s="145"/>
      <c r="E36" s="145"/>
      <c r="F36" s="145"/>
      <c r="G36" s="145"/>
      <c r="H36" s="145"/>
      <c r="I36" s="145"/>
      <c r="J36" s="145"/>
      <c r="K36" s="145"/>
      <c r="L36" s="145"/>
      <c r="M36" s="145"/>
      <c r="N36" s="145"/>
      <c r="O36" s="12"/>
      <c r="S36" s="40"/>
      <c r="T36" s="40"/>
      <c r="U36" s="40"/>
      <c r="V36" s="376" t="s">
        <v>1251</v>
      </c>
      <c r="Y36" s="12"/>
    </row>
    <row r="37" spans="2:25">
      <c r="B37" s="186" t="s">
        <v>1057</v>
      </c>
      <c r="C37" s="184" t="s">
        <v>1252</v>
      </c>
      <c r="D37" s="179" t="s">
        <v>459</v>
      </c>
      <c r="E37" s="35"/>
      <c r="F37" s="34"/>
      <c r="G37" s="21"/>
      <c r="H37" s="20"/>
      <c r="I37" s="36"/>
      <c r="J37" s="300"/>
      <c r="K37" s="302"/>
      <c r="L37" s="302"/>
      <c r="M37" s="302"/>
      <c r="N37" s="242">
        <f>IF($D37="MWh/yr (LHV)",$E37,$J37*$E37*(1-$L37)/Conversion_kWh_to_MJ)</f>
        <v>0</v>
      </c>
      <c r="O37" s="12"/>
      <c r="S37" s="35">
        <v>0</v>
      </c>
      <c r="T37" s="518"/>
      <c r="U37" s="35" t="s">
        <v>1200</v>
      </c>
      <c r="V37" s="242" t="str">
        <f>IFERROR(IF(D37="tonnes/yr", $S37*$E37/($N$20*3.6*$E$51), $T37*$E37*3.6/($N$20*3.6*$E$51)), "Unfilled fields to left")</f>
        <v>Unfilled fields to left</v>
      </c>
      <c r="X37" s="21"/>
      <c r="Y37" s="12"/>
    </row>
    <row r="38" spans="2:25">
      <c r="B38" s="186" t="s">
        <v>1070</v>
      </c>
      <c r="C38" s="184" t="s">
        <v>1253</v>
      </c>
      <c r="D38" s="179" t="s">
        <v>459</v>
      </c>
      <c r="E38" s="35">
        <f>E37*$E$50</f>
        <v>0</v>
      </c>
      <c r="F38" s="21"/>
      <c r="G38" s="21"/>
      <c r="H38" s="20"/>
      <c r="I38" s="36"/>
      <c r="J38" s="300"/>
      <c r="K38" s="302"/>
      <c r="L38" s="302"/>
      <c r="M38" s="302"/>
      <c r="N38" s="242">
        <f>IF($D38="MWh/yr (LHV)",$E38,$J38*$E38*(1-$L38)/Conversion_kWh_to_MJ)</f>
        <v>0</v>
      </c>
      <c r="O38" s="12"/>
      <c r="S38" s="35">
        <v>-1000</v>
      </c>
      <c r="T38" s="518"/>
      <c r="U38" s="35" t="s">
        <v>1203</v>
      </c>
      <c r="V38" s="242" t="str">
        <f>IFERROR(IF(D38="tonnes/yr", $S38*$E38/($N$20*3.6*$E$51), $T38*$E38*3.6/($N$20*3.6*$E$51)), "Unfilled fields to left")</f>
        <v>Unfilled fields to left</v>
      </c>
      <c r="X38" s="21"/>
      <c r="Y38" s="12"/>
    </row>
    <row r="39" spans="2:25">
      <c r="B39" s="186"/>
      <c r="C39" s="184"/>
      <c r="D39" s="179"/>
      <c r="E39" s="35"/>
      <c r="F39" s="21"/>
      <c r="G39" s="21"/>
      <c r="H39" s="20"/>
      <c r="I39" s="36"/>
      <c r="J39" s="300"/>
      <c r="K39" s="302"/>
      <c r="L39" s="302"/>
      <c r="M39" s="302"/>
      <c r="N39" s="242">
        <f>IF($D39="MWh/yr (LHV)",$E39,$J39*$E39*(1-$L39)/Conversion_kWh_to_MJ)</f>
        <v>0</v>
      </c>
      <c r="O39" s="12"/>
      <c r="S39" s="35"/>
      <c r="T39" s="518"/>
      <c r="U39" s="35"/>
      <c r="V39" s="242" t="str">
        <f>IFERROR(IF(D39="tonnes/yr", $S39*$E39/($N$20*3.6*$E$51), $T39*$E39*3.6/($N$20*3.6*$E$51)), "Unfilled fields to left")</f>
        <v>Unfilled fields to left</v>
      </c>
      <c r="X39" s="21"/>
      <c r="Y39" s="12"/>
    </row>
    <row r="40" spans="2:25">
      <c r="C40" s="17"/>
      <c r="D40" s="17"/>
      <c r="E40" s="140"/>
      <c r="F40" s="17"/>
      <c r="H40" s="18"/>
      <c r="I40" s="18"/>
      <c r="J40" s="40"/>
      <c r="K40" s="40"/>
      <c r="L40" s="40"/>
      <c r="M40" s="40"/>
      <c r="N40" s="40"/>
      <c r="O40" s="12"/>
      <c r="S40" s="40"/>
      <c r="T40" s="40"/>
      <c r="U40" s="40"/>
      <c r="V40" s="40"/>
      <c r="Y40" s="12"/>
    </row>
    <row r="41" spans="2:25">
      <c r="B41" s="145" t="s">
        <v>1254</v>
      </c>
      <c r="C41" s="145"/>
      <c r="D41" s="145"/>
      <c r="E41" s="145"/>
      <c r="F41" s="145"/>
      <c r="G41" s="145"/>
      <c r="H41" s="145"/>
      <c r="I41" s="145"/>
      <c r="J41" s="145"/>
      <c r="K41" s="145"/>
      <c r="L41" s="145"/>
      <c r="M41" s="145"/>
      <c r="N41" s="145"/>
      <c r="O41" s="12"/>
      <c r="S41" s="40"/>
      <c r="T41" s="40"/>
      <c r="U41" s="40"/>
      <c r="V41" s="376" t="s">
        <v>1255</v>
      </c>
      <c r="Y41" s="12"/>
    </row>
    <row r="42" spans="2:25">
      <c r="B42" s="186" t="s">
        <v>1057</v>
      </c>
      <c r="C42" s="184" t="s">
        <v>1256</v>
      </c>
      <c r="D42" s="179" t="s">
        <v>459</v>
      </c>
      <c r="E42" s="35"/>
      <c r="F42" s="34"/>
      <c r="G42" s="21"/>
      <c r="H42" s="20"/>
      <c r="I42" s="36"/>
      <c r="J42" s="300"/>
      <c r="K42" s="302"/>
      <c r="L42" s="302"/>
      <c r="M42" s="302"/>
      <c r="N42" s="242">
        <f>IF($D42="MWh/yr (LHV)",$E42,$J42*$E42*(1-$L42)/Conversion_kWh_to_MJ)</f>
        <v>0</v>
      </c>
      <c r="O42" s="12"/>
      <c r="S42" s="35">
        <v>1000</v>
      </c>
      <c r="T42" s="518"/>
      <c r="U42" s="35" t="s">
        <v>1257</v>
      </c>
      <c r="V42" s="242" t="str">
        <f>IFERROR(IF(D42="tonnes/yr", $S42*$E42/($E$20*3.6*$E$52), $T42*$E42*3.6/($N$20*3.6*$E$52)), "Unfilled fields to left")</f>
        <v>Unfilled fields to left</v>
      </c>
      <c r="X42" s="21"/>
      <c r="Y42" s="12"/>
    </row>
    <row r="43" spans="2:25">
      <c r="B43" s="186" t="s">
        <v>1070</v>
      </c>
      <c r="C43" s="184" t="s">
        <v>1258</v>
      </c>
      <c r="D43" s="179" t="s">
        <v>459</v>
      </c>
      <c r="E43" s="35">
        <f>E42*$E$50</f>
        <v>0</v>
      </c>
      <c r="F43" s="21"/>
      <c r="G43" s="21"/>
      <c r="H43" s="20"/>
      <c r="I43" s="36"/>
      <c r="J43" s="300"/>
      <c r="K43" s="302"/>
      <c r="L43" s="302"/>
      <c r="M43" s="302"/>
      <c r="N43" s="242">
        <f>IF($D43="MWh/yr (LHV)",$E43,$J43*$E43*(1-$L43)/Conversion_kWh_to_MJ)</f>
        <v>0</v>
      </c>
      <c r="O43" s="12"/>
      <c r="S43" s="35">
        <v>-1000</v>
      </c>
      <c r="T43" s="518"/>
      <c r="U43" s="35" t="s">
        <v>1259</v>
      </c>
      <c r="V43" s="242" t="str">
        <f>IFERROR(IF(D43="tonnes/yr", $S43*$E43/($E$20*3.6*$E$52), $T43*$E43*3.6/($N$20*3.6*$E$52)), "Unfilled fields to left")</f>
        <v>Unfilled fields to left</v>
      </c>
      <c r="X43" s="21"/>
      <c r="Y43" s="12"/>
    </row>
    <row r="44" spans="2:25">
      <c r="B44" s="526"/>
      <c r="C44" s="527"/>
      <c r="D44" s="179"/>
      <c r="E44" s="35"/>
      <c r="F44" s="21"/>
      <c r="G44" s="21"/>
      <c r="H44" s="20"/>
      <c r="I44" s="36"/>
      <c r="J44" s="300"/>
      <c r="K44" s="302"/>
      <c r="L44" s="302"/>
      <c r="M44" s="302"/>
      <c r="N44" s="242">
        <f>IF($D44="MWh/yr (LHV)",$E44,$J44*$E44*(1-$L44)/Conversion_kWh_to_MJ)</f>
        <v>0</v>
      </c>
      <c r="O44" s="12"/>
      <c r="S44" s="35"/>
      <c r="T44" s="518"/>
      <c r="U44" s="35"/>
      <c r="V44" s="242" t="str">
        <f>IFERROR(IF(D44="tonnes/yr", $S44*$E44/($E$20*3.6*$E$52), $T44*$E44*3.6/($N$20*3.6*$E$52)), "Unfilled fields to left")</f>
        <v>Unfilled fields to left</v>
      </c>
      <c r="X44" s="21"/>
      <c r="Y44" s="12"/>
    </row>
    <row r="45" spans="2:25">
      <c r="C45" s="17"/>
      <c r="D45" s="17"/>
      <c r="E45" s="140"/>
      <c r="F45" s="17"/>
      <c r="H45" s="18"/>
      <c r="I45" s="18"/>
      <c r="J45" s="40"/>
      <c r="K45" s="40"/>
      <c r="L45" s="40"/>
      <c r="M45" s="40"/>
      <c r="N45" s="40"/>
      <c r="O45" s="12"/>
      <c r="S45" s="40"/>
      <c r="T45" s="40"/>
      <c r="U45" s="40"/>
      <c r="V45" s="40"/>
      <c r="Y45" s="12"/>
    </row>
    <row r="46" spans="2:25">
      <c r="D46" s="17"/>
      <c r="E46" s="140"/>
      <c r="J46" s="39"/>
      <c r="K46" s="39"/>
      <c r="L46" s="39"/>
      <c r="M46" s="39"/>
      <c r="O46" s="12"/>
      <c r="S46" s="39"/>
      <c r="T46" s="39"/>
      <c r="U46" s="38" t="s">
        <v>1260</v>
      </c>
      <c r="V46" s="153">
        <f>SUM(V7:V35)+SUM(V37:V40)</f>
        <v>0</v>
      </c>
      <c r="Y46" s="12"/>
    </row>
    <row r="47" spans="2:25">
      <c r="D47" s="17"/>
      <c r="E47" s="140"/>
      <c r="J47" s="39"/>
      <c r="K47" s="39"/>
      <c r="L47" s="39"/>
      <c r="M47" s="39"/>
      <c r="O47" s="12"/>
      <c r="S47" s="39"/>
      <c r="T47" s="39"/>
      <c r="U47" s="38" t="s">
        <v>1261</v>
      </c>
      <c r="V47" s="172">
        <f>SUM(V7:V35)+SUM(V42:V45)</f>
        <v>0</v>
      </c>
      <c r="Y47" s="12"/>
    </row>
    <row r="48" spans="2:25">
      <c r="B48" s="145" t="s">
        <v>132</v>
      </c>
      <c r="C48" s="159"/>
      <c r="D48" s="159"/>
      <c r="E48" s="499"/>
      <c r="I48" s="12"/>
      <c r="J48" s="107"/>
      <c r="K48" s="107"/>
      <c r="L48" s="107"/>
      <c r="M48" s="107"/>
      <c r="N48" s="107"/>
      <c r="O48" s="12"/>
      <c r="S48" s="107"/>
      <c r="T48" s="107"/>
      <c r="U48" s="107"/>
      <c r="Y48" s="12"/>
    </row>
    <row r="49" spans="2:25">
      <c r="B49" s="16" t="s">
        <v>1086</v>
      </c>
      <c r="C49" s="15" t="s">
        <v>1087</v>
      </c>
      <c r="D49" s="15" t="s">
        <v>1088</v>
      </c>
      <c r="E49" s="501"/>
      <c r="G49" s="19"/>
      <c r="H49" s="12"/>
      <c r="I49" s="12"/>
      <c r="J49" s="107"/>
      <c r="K49" s="107"/>
      <c r="L49" s="107"/>
      <c r="M49" s="107"/>
      <c r="N49" s="107"/>
      <c r="O49" s="12"/>
      <c r="S49" s="107"/>
      <c r="T49" s="107"/>
      <c r="U49" s="107"/>
      <c r="V49" s="12"/>
      <c r="X49" s="25"/>
      <c r="Y49" s="12"/>
    </row>
    <row r="50" spans="2:25">
      <c r="B50" s="16" t="s">
        <v>1091</v>
      </c>
      <c r="C50" s="15" t="s">
        <v>1136</v>
      </c>
      <c r="D50" s="15" t="s">
        <v>785</v>
      </c>
      <c r="E50" s="511"/>
      <c r="H50" s="12"/>
      <c r="I50" s="12"/>
      <c r="J50" s="107"/>
      <c r="K50" s="107"/>
      <c r="L50" s="107"/>
      <c r="M50" s="107"/>
      <c r="N50" s="107"/>
      <c r="O50" s="12"/>
      <c r="S50" s="107"/>
      <c r="T50" s="107"/>
      <c r="U50" s="107"/>
      <c r="V50" s="12"/>
      <c r="X50" s="25"/>
      <c r="Y50" s="12"/>
    </row>
    <row r="51" spans="2:25">
      <c r="B51" s="16" t="s">
        <v>1262</v>
      </c>
      <c r="C51" s="15" t="s">
        <v>1263</v>
      </c>
      <c r="D51" s="15" t="s">
        <v>785</v>
      </c>
      <c r="E51" s="511"/>
      <c r="J51" s="39"/>
      <c r="K51" s="39"/>
      <c r="L51" s="39"/>
      <c r="M51" s="39"/>
      <c r="S51" s="39"/>
      <c r="T51" s="39"/>
      <c r="U51" s="39"/>
      <c r="X51" s="25"/>
    </row>
    <row r="52" spans="2:25">
      <c r="B52" s="16" t="s">
        <v>1262</v>
      </c>
      <c r="C52" s="15" t="s">
        <v>1264</v>
      </c>
      <c r="D52" s="15" t="s">
        <v>785</v>
      </c>
      <c r="E52" s="511">
        <f>1-E51</f>
        <v>1</v>
      </c>
      <c r="J52" s="39"/>
      <c r="K52" s="39"/>
      <c r="L52" s="39"/>
      <c r="M52" s="39"/>
      <c r="S52" s="39"/>
      <c r="T52" s="39"/>
      <c r="U52" s="39"/>
      <c r="X52" s="532"/>
    </row>
    <row r="53" spans="2:25">
      <c r="B53" s="16"/>
      <c r="C53" s="15"/>
      <c r="D53" s="15"/>
      <c r="E53" s="507"/>
      <c r="J53" s="39"/>
      <c r="K53" s="39"/>
      <c r="L53" s="39"/>
      <c r="M53" s="39"/>
      <c r="S53" s="39"/>
      <c r="T53" s="39"/>
      <c r="U53" s="39"/>
      <c r="X53" s="25"/>
    </row>
    <row r="54" spans="2:25">
      <c r="B54" s="16"/>
      <c r="C54" s="15"/>
      <c r="D54" s="15"/>
      <c r="E54" s="507"/>
      <c r="J54" s="39"/>
      <c r="K54" s="39"/>
      <c r="L54" s="39"/>
      <c r="M54" s="39"/>
      <c r="S54" s="39"/>
      <c r="T54" s="39"/>
      <c r="U54" s="39"/>
      <c r="X54" s="532"/>
    </row>
    <row r="55" spans="2:25">
      <c r="E55" s="107"/>
      <c r="J55" s="39"/>
      <c r="K55" s="39"/>
      <c r="L55" s="39"/>
      <c r="M55" s="39"/>
      <c r="S55" s="39"/>
      <c r="T55" s="39"/>
      <c r="U55" s="39"/>
    </row>
    <row r="56" spans="2:25">
      <c r="E56" s="107"/>
      <c r="J56" s="39"/>
      <c r="K56" s="39"/>
      <c r="L56" s="39"/>
      <c r="M56" s="39"/>
      <c r="S56" s="39"/>
      <c r="T56" s="39"/>
      <c r="U56" s="39"/>
    </row>
    <row r="57" spans="2:25">
      <c r="E57" s="107"/>
      <c r="J57" s="39"/>
      <c r="K57" s="39"/>
      <c r="L57" s="39"/>
      <c r="M57" s="39"/>
      <c r="S57" s="39"/>
      <c r="T57" s="39"/>
      <c r="U57" s="39"/>
    </row>
    <row r="58" spans="2:25">
      <c r="E58" s="107"/>
      <c r="J58" s="39"/>
      <c r="K58" s="39"/>
      <c r="L58" s="39"/>
      <c r="M58" s="39"/>
      <c r="S58" s="39"/>
      <c r="T58" s="39"/>
      <c r="U58" s="39"/>
    </row>
    <row r="59" spans="2:25">
      <c r="E59" s="107"/>
      <c r="J59" s="39"/>
      <c r="K59" s="39"/>
      <c r="L59" s="39"/>
      <c r="M59" s="39"/>
      <c r="S59" s="39"/>
      <c r="T59" s="39"/>
      <c r="U59" s="39"/>
    </row>
    <row r="60" spans="2:25">
      <c r="E60" s="107"/>
      <c r="J60" s="39"/>
      <c r="K60" s="39"/>
      <c r="L60" s="39"/>
      <c r="M60" s="39"/>
      <c r="S60" s="39"/>
      <c r="T60" s="39"/>
      <c r="U60" s="39"/>
    </row>
    <row r="61" spans="2:25">
      <c r="E61" s="107"/>
      <c r="J61" s="39"/>
      <c r="K61" s="39"/>
      <c r="L61" s="39"/>
      <c r="M61" s="39"/>
      <c r="S61" s="39"/>
      <c r="T61" s="39"/>
      <c r="U61" s="39"/>
    </row>
    <row r="62" spans="2:25">
      <c r="E62" s="107"/>
      <c r="J62" s="39"/>
      <c r="K62" s="39"/>
      <c r="L62" s="39"/>
      <c r="M62" s="39"/>
      <c r="S62" s="39"/>
      <c r="T62" s="39"/>
      <c r="U62" s="39"/>
    </row>
    <row r="63" spans="2:25">
      <c r="E63" s="107"/>
      <c r="J63" s="39"/>
      <c r="K63" s="39"/>
      <c r="L63" s="39"/>
      <c r="M63" s="39"/>
      <c r="S63" s="39"/>
      <c r="T63" s="39"/>
      <c r="U63" s="39"/>
    </row>
    <row r="64" spans="2:25">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L122" s="39"/>
      <c r="M122" s="39"/>
      <c r="S122" s="39"/>
      <c r="T122" s="39"/>
      <c r="U122" s="39"/>
    </row>
    <row r="123" spans="5:21">
      <c r="E123" s="107"/>
      <c r="J123" s="39"/>
      <c r="K123" s="39"/>
      <c r="L123" s="39"/>
      <c r="M123" s="39"/>
      <c r="S123" s="39"/>
      <c r="T123" s="39"/>
      <c r="U123" s="39"/>
    </row>
    <row r="124" spans="5:21">
      <c r="E124" s="107"/>
      <c r="J124" s="39"/>
      <c r="K124" s="39"/>
      <c r="L124" s="39"/>
      <c r="M124" s="39"/>
      <c r="S124" s="39"/>
      <c r="T124" s="39"/>
      <c r="U124" s="39"/>
    </row>
    <row r="125" spans="5:21">
      <c r="E125" s="107"/>
      <c r="J125" s="39"/>
      <c r="K125" s="39"/>
      <c r="L125" s="39"/>
      <c r="M125" s="39"/>
      <c r="S125" s="39"/>
      <c r="T125" s="39"/>
      <c r="U125" s="39"/>
    </row>
    <row r="126" spans="5:21">
      <c r="E126" s="107"/>
      <c r="J126" s="39"/>
      <c r="K126" s="39"/>
      <c r="L126" s="39"/>
      <c r="M126" s="39"/>
      <c r="S126" s="39"/>
      <c r="T126" s="39"/>
      <c r="U126" s="39"/>
    </row>
    <row r="127" spans="5:21">
      <c r="E127" s="107"/>
      <c r="J127" s="39"/>
      <c r="K127" s="39"/>
      <c r="L127" s="39"/>
      <c r="M127" s="39"/>
      <c r="S127" s="39"/>
      <c r="T127" s="39"/>
      <c r="U127" s="39"/>
    </row>
    <row r="128" spans="5:21">
      <c r="E128" s="107"/>
      <c r="J128" s="39"/>
      <c r="K128" s="39"/>
      <c r="L128" s="39"/>
      <c r="M128" s="39"/>
      <c r="S128" s="39"/>
      <c r="T128" s="39"/>
      <c r="U128" s="39"/>
    </row>
    <row r="129" spans="5:21">
      <c r="E129" s="107"/>
      <c r="J129" s="39"/>
      <c r="K129" s="39"/>
      <c r="L129" s="39"/>
      <c r="M129" s="39"/>
      <c r="S129" s="39"/>
      <c r="T129" s="39"/>
      <c r="U129" s="39"/>
    </row>
    <row r="130" spans="5:21">
      <c r="E130" s="107"/>
      <c r="J130" s="39"/>
      <c r="K130" s="39"/>
      <c r="L130" s="39"/>
      <c r="M130" s="39"/>
      <c r="S130" s="39"/>
      <c r="T130" s="39"/>
      <c r="U130" s="39"/>
    </row>
    <row r="131" spans="5:21">
      <c r="E131" s="107"/>
      <c r="J131" s="39"/>
      <c r="K131" s="39"/>
      <c r="L131" s="39"/>
      <c r="M131" s="39"/>
      <c r="S131" s="39"/>
      <c r="T131" s="39"/>
      <c r="U131" s="39"/>
    </row>
    <row r="132" spans="5:21">
      <c r="E132" s="107"/>
      <c r="J132" s="39"/>
      <c r="K132" s="39"/>
      <c r="L132" s="39"/>
      <c r="M132" s="39"/>
      <c r="S132" s="39"/>
      <c r="T132" s="39"/>
      <c r="U132" s="39"/>
    </row>
    <row r="133" spans="5:21">
      <c r="E133" s="107"/>
      <c r="J133" s="39"/>
      <c r="K133" s="39"/>
      <c r="L133" s="39"/>
      <c r="M133" s="39"/>
      <c r="S133" s="39"/>
      <c r="T133" s="39"/>
      <c r="U133" s="39"/>
    </row>
    <row r="134" spans="5:21">
      <c r="E134" s="107"/>
      <c r="J134" s="39"/>
      <c r="K134" s="39"/>
      <c r="L134" s="39"/>
      <c r="M134" s="39"/>
      <c r="S134" s="39"/>
      <c r="T134" s="39"/>
      <c r="U134" s="39"/>
    </row>
    <row r="135" spans="5:21">
      <c r="E135" s="107"/>
      <c r="J135" s="39"/>
      <c r="K135" s="39"/>
      <c r="L135" s="39"/>
      <c r="M135" s="39"/>
      <c r="S135" s="39"/>
      <c r="T135" s="39"/>
      <c r="U135" s="39"/>
    </row>
    <row r="136" spans="5:21">
      <c r="E136" s="107"/>
      <c r="J136" s="39"/>
      <c r="K136" s="39"/>
      <c r="L136" s="39"/>
      <c r="M136" s="39"/>
      <c r="S136" s="39"/>
      <c r="T136" s="39"/>
      <c r="U136" s="39"/>
    </row>
    <row r="137" spans="5:21">
      <c r="E137" s="107"/>
      <c r="J137" s="39"/>
      <c r="K137" s="39"/>
      <c r="L137" s="39"/>
      <c r="M137" s="39"/>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E148" s="107"/>
      <c r="S148" s="39"/>
      <c r="T148" s="39"/>
      <c r="U148" s="39"/>
    </row>
    <row r="149" spans="5:21">
      <c r="E149" s="107"/>
      <c r="S149" s="39"/>
      <c r="T149" s="39"/>
      <c r="U149" s="39"/>
    </row>
    <row r="150" spans="5:21">
      <c r="E150" s="107"/>
      <c r="S150" s="39"/>
      <c r="T150" s="39"/>
      <c r="U150" s="39"/>
    </row>
    <row r="151" spans="5:21">
      <c r="E151" s="107"/>
      <c r="S151" s="39"/>
      <c r="T151" s="39"/>
      <c r="U151" s="39"/>
    </row>
    <row r="152" spans="5:21">
      <c r="E152" s="107"/>
      <c r="S152" s="39"/>
      <c r="T152" s="39"/>
      <c r="U152" s="39"/>
    </row>
    <row r="153" spans="5:21">
      <c r="E153" s="107"/>
      <c r="S153" s="39"/>
      <c r="T153" s="39"/>
      <c r="U153" s="39"/>
    </row>
    <row r="154" spans="5:21">
      <c r="E154" s="107"/>
      <c r="S154" s="39"/>
      <c r="T154" s="39"/>
      <c r="U154" s="39"/>
    </row>
    <row r="155" spans="5:21">
      <c r="E155" s="107"/>
      <c r="S155" s="39"/>
      <c r="T155" s="39"/>
      <c r="U155" s="39"/>
    </row>
    <row r="156" spans="5:21">
      <c r="E156" s="107"/>
      <c r="S156" s="39"/>
      <c r="T156" s="39"/>
      <c r="U156" s="39"/>
    </row>
    <row r="157" spans="5:21">
      <c r="E157" s="107"/>
      <c r="S157" s="39"/>
      <c r="T157" s="39"/>
      <c r="U157" s="39"/>
    </row>
    <row r="158" spans="5:21">
      <c r="E158" s="107"/>
      <c r="S158" s="39"/>
      <c r="T158" s="39"/>
      <c r="U158" s="39"/>
    </row>
    <row r="159" spans="5:21">
      <c r="E159" s="107"/>
      <c r="S159" s="39"/>
      <c r="T159" s="39"/>
      <c r="U159" s="39"/>
    </row>
    <row r="160" spans="5:21">
      <c r="E160" s="107"/>
      <c r="S160" s="39"/>
      <c r="T160" s="39"/>
      <c r="U160" s="39"/>
    </row>
    <row r="161" spans="5:21">
      <c r="E161" s="107"/>
      <c r="S161" s="39"/>
      <c r="T161" s="39"/>
      <c r="U161" s="39"/>
    </row>
    <row r="162" spans="5:21">
      <c r="E162" s="107"/>
      <c r="S162" s="39"/>
      <c r="T162" s="39"/>
      <c r="U162" s="39"/>
    </row>
    <row r="163" spans="5:21">
      <c r="S163" s="39"/>
      <c r="T163" s="39"/>
      <c r="U163" s="39"/>
    </row>
    <row r="164" spans="5:21">
      <c r="S164" s="39"/>
      <c r="T164" s="39"/>
      <c r="U164" s="39"/>
    </row>
    <row r="165" spans="5:21">
      <c r="S165" s="39"/>
      <c r="T165" s="39"/>
      <c r="U165" s="39"/>
    </row>
    <row r="166" spans="5:21">
      <c r="S166" s="39"/>
      <c r="T166" s="39"/>
      <c r="U166" s="39"/>
    </row>
    <row r="167" spans="5:21">
      <c r="S167" s="39"/>
      <c r="T167" s="39"/>
      <c r="U167" s="39"/>
    </row>
    <row r="168" spans="5:21">
      <c r="S168" s="39"/>
      <c r="T168" s="39"/>
      <c r="U168" s="39"/>
    </row>
    <row r="169" spans="5:21">
      <c r="S169" s="39"/>
      <c r="T169" s="39"/>
      <c r="U169" s="39"/>
    </row>
    <row r="170" spans="5:21">
      <c r="S170" s="39"/>
      <c r="T170" s="39"/>
      <c r="U170" s="39"/>
    </row>
    <row r="171" spans="5:21">
      <c r="S171" s="39"/>
      <c r="T171" s="39"/>
      <c r="U171" s="39"/>
    </row>
    <row r="172" spans="5:21">
      <c r="S172" s="39"/>
      <c r="T172" s="39"/>
      <c r="U172" s="39"/>
    </row>
    <row r="173" spans="5:21">
      <c r="S173" s="39"/>
      <c r="T173" s="39"/>
      <c r="U173" s="39"/>
    </row>
    <row r="174" spans="5:21">
      <c r="S174" s="39"/>
      <c r="T174" s="39"/>
      <c r="U174" s="39"/>
    </row>
    <row r="175" spans="5:21">
      <c r="S175" s="39"/>
      <c r="T175" s="39"/>
      <c r="U175" s="39"/>
    </row>
    <row r="176" spans="5: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row r="190" spans="19:21">
      <c r="S190" s="39"/>
      <c r="T190" s="39"/>
      <c r="U190" s="39"/>
    </row>
    <row r="191" spans="19:21">
      <c r="S191" s="39"/>
      <c r="T191" s="39"/>
      <c r="U191" s="39"/>
    </row>
    <row r="192" spans="19:21">
      <c r="S192" s="39"/>
      <c r="T192" s="39"/>
      <c r="U192" s="39"/>
    </row>
    <row r="193" spans="19:21">
      <c r="S193" s="39"/>
      <c r="T193" s="39"/>
      <c r="U193" s="39"/>
    </row>
    <row r="194" spans="19:21">
      <c r="S194" s="39"/>
      <c r="T194" s="39"/>
      <c r="U194" s="39"/>
    </row>
    <row r="195" spans="19:21">
      <c r="S195" s="39"/>
      <c r="T195" s="39"/>
      <c r="U195" s="39"/>
    </row>
    <row r="196" spans="19:21">
      <c r="S196" s="39"/>
      <c r="T196" s="39"/>
      <c r="U196" s="39"/>
    </row>
    <row r="197" spans="19:21">
      <c r="S197" s="39"/>
      <c r="T197" s="39"/>
      <c r="U197" s="39"/>
    </row>
    <row r="198" spans="19:21">
      <c r="S198" s="39"/>
      <c r="T198" s="39"/>
      <c r="U198" s="39"/>
    </row>
    <row r="199" spans="19:21">
      <c r="S199" s="39"/>
      <c r="T199" s="39"/>
      <c r="U199" s="39"/>
    </row>
    <row r="200" spans="19:21">
      <c r="S200" s="39"/>
      <c r="T200" s="39"/>
      <c r="U200" s="39"/>
    </row>
    <row r="201" spans="19:21">
      <c r="S201" s="39"/>
      <c r="T201" s="39"/>
      <c r="U201" s="39"/>
    </row>
    <row r="202" spans="19:21">
      <c r="S202" s="39"/>
      <c r="T202" s="39"/>
      <c r="U202" s="39"/>
    </row>
    <row r="203" spans="19:21">
      <c r="S203" s="39"/>
      <c r="T203" s="39"/>
      <c r="U203" s="39"/>
    </row>
    <row r="204" spans="19:21">
      <c r="S204" s="39"/>
      <c r="T204" s="39"/>
      <c r="U204"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N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N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4 D37:D39 D42:D44" xr:uid="{97998BDC-1DD0-4D1A-A832-A373E99DD0C9}">
      <formula1>Flow_units</formula1>
    </dataValidation>
    <dataValidation type="custom" allowBlank="1" showInputMessage="1" showErrorMessage="1" error="Please do not change this formula" prompt="Please do not change this formula" sqref="W4 V6:V1048576 V1:V4 S5:V5" xr:uid="{683C8AF2-CA66-4AF6-91CC-400F889D089D}">
      <formula1>"Please do not change this formula"</formula1>
    </dataValidation>
    <dataValidation type="custom" allowBlank="1" showInputMessage="1" showErrorMessage="1" error="Please do not change this formula" sqref="R6:R19 R23:R1048576 N1:N1048576 O1:R5 O6:Q1048576" xr:uid="{23358093-4DAE-4DC8-88BC-FE299EB94AC9}">
      <formula1>"Please do not change this formula"</formula1>
    </dataValidation>
    <dataValidation type="custom" allowBlank="1" showInputMessage="1" showErrorMessage="1" error="Please do not change" sqref="R20:R22" xr:uid="{25220802-73E7-4605-BD67-DDEBF25886BE}">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28 S31:T35" xr:uid="{2597C4E9-CA8E-47AA-B7B8-E3FA204D49B2}">
      <formula1>0</formula1>
    </dataValidation>
  </dataValidations>
  <hyperlinks>
    <hyperlink ref="I2:J2" location="'Waste Further Transport'!A1" display="Go to the next step of this pathway" xr:uid="{593C3D66-E095-4CBE-8C76-E5E28BF9CD03}"/>
    <hyperlink ref="I2:K2" location="Waste_Further_Transport!A1" display="Go to the next step of this pathway" xr:uid="{24A43B58-B5B8-44CC-8763-E756C8080821}"/>
  </hyperlinks>
  <pageMargins left="0" right="0" top="0" bottom="0" header="0" footer="0"/>
  <pageSetup paperSize="9" orientation="portrait" r:id="rId10"/>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3400-000001000000}">
            <xm:f>AND(Path&lt;&gt;Units!$B$137, Path &lt;&gt;Units!$B$138,Master_Switch="On")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4" id="{00000000-000E-0000-2B00-000003000000}">
            <xm:f>AND(OR(GHG_WASTE_GASIFICATION!$D$5="Default",GHG_WASTE_GASIFICATION!$D$27="Default"),Master_Switch="On")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C17B5-8E75-429E-8EBA-94AB7F3854D0}">
  <sheetPr codeName="Sheet37">
    <tabColor theme="7" tint="0.59999389629810485"/>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55"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20.453125" customWidth="1"/>
    <col min="16" max="16" width="8" customWidth="1"/>
    <col min="17" max="17" width="18.81640625" style="12" customWidth="1"/>
    <col min="18" max="18" width="17.54296875" style="12" customWidth="1"/>
    <col min="19" max="20" width="20.7265625" style="13" customWidth="1"/>
    <col min="21" max="21" width="22.7265625" style="13" customWidth="1"/>
    <col min="22" max="22" width="20.26953125" style="39" customWidth="1"/>
    <col min="23" max="23" width="7.1796875" style="12" customWidth="1"/>
    <col min="24" max="24" width="26" style="12" customWidth="1"/>
    <col min="26" max="16384" width="7.1796875" style="12"/>
  </cols>
  <sheetData>
    <row r="1" spans="1:29" ht="31.9" customHeight="1">
      <c r="A1" s="80" t="str">
        <f>IF(AND(Path&lt;&gt;Units!$B$137,Path&lt;&gt;Units!$B$138,Master_Switch="On"),"User should not fill in this sheet, but switch to other non-blank GHG worksheets","")</f>
        <v>User should not fill in this sheet, but switch to other non-blank GHG worksheets</v>
      </c>
      <c r="E1" s="256"/>
    </row>
    <row r="2" spans="1:29" ht="20.5" customHeight="1">
      <c r="B2" s="80" t="str">
        <f>IF(AND(OR(GHG_WASTE_GASIFICATION!$D$5="Default",GHG_WASTE_GASIFICATION!$D$27="Default"),Master_Switch="On"),"Default data selected for this step, move to the next step of the pathway","")</f>
        <v/>
      </c>
      <c r="E2" s="256"/>
      <c r="I2" s="729" t="s">
        <v>1093</v>
      </c>
      <c r="J2" s="731"/>
      <c r="K2" s="732"/>
      <c r="L2" s="39"/>
      <c r="M2" s="39"/>
    </row>
    <row r="3" spans="1:29" ht="15" customHeight="1">
      <c r="E3" s="256"/>
    </row>
    <row r="4" spans="1:29" ht="15.65" customHeight="1" thickBot="1">
      <c r="B4" s="3"/>
      <c r="C4" s="3"/>
      <c r="D4" s="3"/>
      <c r="E4" s="455"/>
      <c r="F4" s="3"/>
      <c r="G4" s="3"/>
      <c r="H4" s="1"/>
      <c r="I4" s="1"/>
      <c r="J4" s="1"/>
      <c r="K4" s="1"/>
      <c r="L4" s="1"/>
      <c r="M4" s="1"/>
      <c r="N4" s="37"/>
      <c r="O4" s="1"/>
      <c r="P4" s="1"/>
      <c r="Q4" s="3"/>
      <c r="R4" s="3"/>
      <c r="S4" s="1"/>
      <c r="T4" s="1"/>
      <c r="U4" s="1"/>
      <c r="V4" s="37"/>
      <c r="W4" s="37"/>
      <c r="X4" s="3"/>
    </row>
    <row r="5" spans="1:29"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9" ht="15" thickTop="1">
      <c r="E6" s="457"/>
      <c r="Q6"/>
      <c r="R6"/>
      <c r="S6"/>
      <c r="T6"/>
      <c r="U6"/>
      <c r="V6"/>
    </row>
    <row r="7" spans="1:29">
      <c r="B7" s="145" t="s">
        <v>1097</v>
      </c>
      <c r="C7" s="145"/>
      <c r="D7" s="145"/>
      <c r="E7" s="324"/>
      <c r="F7" s="145"/>
      <c r="G7" s="145"/>
      <c r="H7" s="145"/>
      <c r="I7" s="145"/>
      <c r="J7" s="145"/>
      <c r="K7" s="145"/>
      <c r="L7" s="145"/>
      <c r="M7" s="145"/>
      <c r="N7" s="301"/>
      <c r="Q7"/>
      <c r="R7"/>
      <c r="S7"/>
      <c r="T7"/>
      <c r="U7"/>
      <c r="V7"/>
      <c r="W7" s="19"/>
      <c r="X7" s="19"/>
      <c r="Y7" s="19"/>
      <c r="Z7" s="19"/>
      <c r="AA7" s="19"/>
      <c r="AB7" s="19"/>
      <c r="AC7" s="19"/>
    </row>
    <row r="8" spans="1:29">
      <c r="B8" s="16" t="s">
        <v>1115</v>
      </c>
      <c r="C8" s="184" t="s">
        <v>1245</v>
      </c>
      <c r="D8" s="179" t="s">
        <v>459</v>
      </c>
      <c r="E8" s="35"/>
      <c r="F8" s="21"/>
      <c r="G8" s="21"/>
      <c r="H8" s="20"/>
      <c r="I8" s="20"/>
      <c r="J8" s="300"/>
      <c r="K8" s="302"/>
      <c r="L8" s="302"/>
      <c r="M8" s="302"/>
      <c r="N8" s="242">
        <f t="shared" ref="N8:N17" si="0">IF($D8="MWh/yr (LHV)",$E8,$J8*$E8*(1-$L8)/Conversion_kWh_to_MJ)</f>
        <v>0</v>
      </c>
      <c r="O8" s="12"/>
      <c r="P8" s="12"/>
      <c r="S8" s="107"/>
      <c r="T8" s="107"/>
      <c r="U8" s="107"/>
      <c r="V8" s="12"/>
      <c r="X8" s="24"/>
      <c r="Y8" s="12"/>
    </row>
    <row r="9" spans="1:29">
      <c r="B9" s="186" t="s">
        <v>1021</v>
      </c>
      <c r="C9" s="184" t="s">
        <v>1098</v>
      </c>
      <c r="D9" s="179" t="s">
        <v>479</v>
      </c>
      <c r="E9" s="35"/>
      <c r="F9" s="21"/>
      <c r="G9" s="21"/>
      <c r="H9" s="20"/>
      <c r="I9" s="36"/>
      <c r="J9" s="300"/>
      <c r="K9" s="302"/>
      <c r="L9" s="302"/>
      <c r="M9" s="302"/>
      <c r="N9" s="242">
        <f t="shared" si="0"/>
        <v>0</v>
      </c>
      <c r="O9" s="12"/>
      <c r="P9" s="12"/>
      <c r="S9" s="35" t="str">
        <f t="shared" ref="S9:S17" si="1">IF(B9="", "", IF(D9="MWh/yr (LHV)", "Use column to right", "Enter data here"))</f>
        <v>Use column to right</v>
      </c>
      <c r="T9" s="35" t="e">
        <f>INDEX(Proj_grid_intensity_kWh,MATCH(Operations_year,Proj_grid_year,0))/Conversion_kWh_to_MJ</f>
        <v>#N/A</v>
      </c>
      <c r="U9" s="35" t="s">
        <v>1064</v>
      </c>
      <c r="V9" s="242" t="str">
        <f t="shared" ref="V9:V17" si="2">IFERROR(IF(D9="tonnes/yr", $S9*$E9/($N$20*3.6), $T9*$E9*3.6/($N$20*3.6)), "Unfilled fields to left")</f>
        <v>Unfilled fields to left</v>
      </c>
      <c r="X9" s="25"/>
      <c r="Y9" s="12"/>
    </row>
    <row r="10" spans="1:29">
      <c r="B10" s="186" t="s">
        <v>1021</v>
      </c>
      <c r="C10" s="184"/>
      <c r="D10" s="179"/>
      <c r="E10" s="35"/>
      <c r="F10" s="21"/>
      <c r="G10" s="21"/>
      <c r="H10" s="20"/>
      <c r="I10" s="36"/>
      <c r="J10" s="300"/>
      <c r="K10" s="302"/>
      <c r="L10" s="302"/>
      <c r="M10" s="302"/>
      <c r="N10" s="242">
        <f t="shared" si="0"/>
        <v>0</v>
      </c>
      <c r="O10" s="12"/>
      <c r="P10" s="12"/>
      <c r="S10" s="35" t="str">
        <f t="shared" si="1"/>
        <v>Enter data here</v>
      </c>
      <c r="T10" s="35" t="str">
        <f t="shared" ref="T10:T17" si="3">IF(B10="", "", IF(D10="MWh/yr (LHV)", "Enter data here", "Use column to left"))</f>
        <v>Use column to left</v>
      </c>
      <c r="U10" s="35" t="s">
        <v>1100</v>
      </c>
      <c r="V10" s="242" t="str">
        <f t="shared" si="2"/>
        <v>Unfilled fields to left</v>
      </c>
      <c r="X10" s="25"/>
      <c r="Y10" s="12"/>
    </row>
    <row r="11" spans="1:29">
      <c r="B11" s="186" t="s">
        <v>1042</v>
      </c>
      <c r="C11" s="184" t="s">
        <v>1043</v>
      </c>
      <c r="D11" s="179" t="s">
        <v>459</v>
      </c>
      <c r="E11" s="35"/>
      <c r="F11" s="21"/>
      <c r="G11" s="21"/>
      <c r="H11" s="20"/>
      <c r="I11" s="36"/>
      <c r="J11" s="300"/>
      <c r="K11" s="302"/>
      <c r="L11" s="302"/>
      <c r="M11" s="302"/>
      <c r="N11" s="242">
        <f t="shared" si="0"/>
        <v>0</v>
      </c>
      <c r="O11" s="12"/>
      <c r="P11" s="12"/>
      <c r="S11" s="35" t="str">
        <f t="shared" si="1"/>
        <v>Enter data here</v>
      </c>
      <c r="T11" s="35" t="str">
        <f t="shared" si="3"/>
        <v>Use column to left</v>
      </c>
      <c r="U11" s="35" t="s">
        <v>1100</v>
      </c>
      <c r="V11" s="242" t="str">
        <f t="shared" si="2"/>
        <v>Unfilled fields to left</v>
      </c>
      <c r="X11" s="25"/>
      <c r="Y11" s="12"/>
    </row>
    <row r="12" spans="1:29">
      <c r="B12" s="186" t="s">
        <v>1042</v>
      </c>
      <c r="C12" s="184" t="s">
        <v>1045</v>
      </c>
      <c r="D12" s="179" t="s">
        <v>459</v>
      </c>
      <c r="E12" s="35"/>
      <c r="F12" s="21"/>
      <c r="G12" s="21"/>
      <c r="H12" s="20"/>
      <c r="I12" s="36"/>
      <c r="J12" s="300"/>
      <c r="K12" s="302"/>
      <c r="L12" s="302"/>
      <c r="M12" s="302"/>
      <c r="N12" s="242">
        <f t="shared" si="0"/>
        <v>0</v>
      </c>
      <c r="O12" s="12"/>
      <c r="P12" s="12"/>
      <c r="S12" s="35" t="str">
        <f t="shared" si="1"/>
        <v>Enter data here</v>
      </c>
      <c r="T12" s="35" t="str">
        <f t="shared" si="3"/>
        <v>Use column to left</v>
      </c>
      <c r="U12" s="35" t="s">
        <v>1100</v>
      </c>
      <c r="V12" s="242" t="str">
        <f t="shared" si="2"/>
        <v>Unfilled fields to left</v>
      </c>
      <c r="X12" s="25"/>
      <c r="Y12" s="12"/>
    </row>
    <row r="13" spans="1:29">
      <c r="B13" s="186" t="s">
        <v>1051</v>
      </c>
      <c r="C13" s="184" t="s">
        <v>1053</v>
      </c>
      <c r="D13" s="179" t="s">
        <v>459</v>
      </c>
      <c r="E13" s="35"/>
      <c r="F13" s="21"/>
      <c r="G13" s="21"/>
      <c r="H13" s="20"/>
      <c r="I13" s="36"/>
      <c r="J13" s="300"/>
      <c r="K13" s="302"/>
      <c r="L13" s="302"/>
      <c r="M13" s="302"/>
      <c r="N13" s="242">
        <f t="shared" si="0"/>
        <v>0</v>
      </c>
      <c r="O13" s="12"/>
      <c r="P13" s="12"/>
      <c r="S13" s="35" t="str">
        <f t="shared" si="1"/>
        <v>Enter data here</v>
      </c>
      <c r="T13" s="35" t="str">
        <f t="shared" si="3"/>
        <v>Use column to left</v>
      </c>
      <c r="U13" s="35" t="s">
        <v>1100</v>
      </c>
      <c r="V13" s="242" t="str">
        <f t="shared" si="2"/>
        <v>Unfilled fields to left</v>
      </c>
      <c r="X13" s="25"/>
      <c r="Y13" s="12"/>
    </row>
    <row r="14" spans="1:29">
      <c r="B14" s="186" t="s">
        <v>1051</v>
      </c>
      <c r="C14" s="184" t="s">
        <v>1101</v>
      </c>
      <c r="D14" s="179" t="s">
        <v>459</v>
      </c>
      <c r="E14" s="35"/>
      <c r="F14" s="21"/>
      <c r="G14" s="21"/>
      <c r="H14" s="20"/>
      <c r="I14" s="36"/>
      <c r="J14" s="300"/>
      <c r="K14" s="302"/>
      <c r="L14" s="302"/>
      <c r="M14" s="302"/>
      <c r="N14" s="242">
        <f t="shared" si="0"/>
        <v>0</v>
      </c>
      <c r="O14" s="12"/>
      <c r="P14" s="12"/>
      <c r="S14" s="35" t="str">
        <f t="shared" si="1"/>
        <v>Enter data here</v>
      </c>
      <c r="T14" s="35" t="str">
        <f t="shared" si="3"/>
        <v>Use column to left</v>
      </c>
      <c r="U14" s="35" t="s">
        <v>1100</v>
      </c>
      <c r="V14" s="242" t="str">
        <f t="shared" si="2"/>
        <v>Unfilled fields to left</v>
      </c>
      <c r="X14" s="25"/>
      <c r="Y14" s="12"/>
    </row>
    <row r="15" spans="1:29">
      <c r="B15" s="186" t="s">
        <v>1177</v>
      </c>
      <c r="C15" s="184" t="s">
        <v>1055</v>
      </c>
      <c r="D15" s="179" t="s">
        <v>459</v>
      </c>
      <c r="E15" s="35"/>
      <c r="F15" s="21"/>
      <c r="G15" s="21"/>
      <c r="H15" s="20"/>
      <c r="I15" s="36"/>
      <c r="J15" s="300"/>
      <c r="K15" s="302"/>
      <c r="L15" s="302"/>
      <c r="M15" s="302"/>
      <c r="N15" s="242">
        <f t="shared" si="0"/>
        <v>0</v>
      </c>
      <c r="O15" s="12"/>
      <c r="P15" s="12"/>
      <c r="S15" s="35" t="str">
        <f t="shared" si="1"/>
        <v>Enter data here</v>
      </c>
      <c r="T15" s="35" t="str">
        <f t="shared" si="3"/>
        <v>Use column to left</v>
      </c>
      <c r="U15" s="35" t="s">
        <v>1100</v>
      </c>
      <c r="V15" s="242" t="str">
        <f t="shared" si="2"/>
        <v>Unfilled fields to left</v>
      </c>
      <c r="X15" s="25"/>
      <c r="Y15" s="12"/>
    </row>
    <row r="16" spans="1:29">
      <c r="B16" s="186" t="s">
        <v>1177</v>
      </c>
      <c r="C16" s="184" t="s">
        <v>1213</v>
      </c>
      <c r="D16" s="179" t="s">
        <v>459</v>
      </c>
      <c r="E16" s="35"/>
      <c r="F16" s="21"/>
      <c r="G16" s="21"/>
      <c r="H16" s="20"/>
      <c r="I16" s="36"/>
      <c r="J16" s="300"/>
      <c r="K16" s="302"/>
      <c r="L16" s="302"/>
      <c r="M16" s="302"/>
      <c r="N16" s="242">
        <f t="shared" si="0"/>
        <v>0</v>
      </c>
      <c r="O16" s="12"/>
      <c r="P16" s="12"/>
      <c r="S16" s="35" t="str">
        <f t="shared" si="1"/>
        <v>Enter data here</v>
      </c>
      <c r="T16" s="35" t="str">
        <f t="shared" si="3"/>
        <v>Use column to left</v>
      </c>
      <c r="U16" s="35" t="s">
        <v>1100</v>
      </c>
      <c r="V16" s="242" t="str">
        <f t="shared" si="2"/>
        <v>Unfilled fields to left</v>
      </c>
      <c r="X16" s="25"/>
      <c r="Y16" s="12"/>
    </row>
    <row r="17" spans="2:29">
      <c r="B17" s="16"/>
      <c r="C17" s="15"/>
      <c r="D17" s="179"/>
      <c r="E17" s="35"/>
      <c r="F17" s="21"/>
      <c r="G17" s="21"/>
      <c r="H17" s="20"/>
      <c r="I17" s="36"/>
      <c r="J17" s="300"/>
      <c r="K17" s="302"/>
      <c r="L17" s="302"/>
      <c r="M17" s="302"/>
      <c r="N17" s="242">
        <f t="shared" si="0"/>
        <v>0</v>
      </c>
      <c r="O17" s="12"/>
      <c r="P17" s="12"/>
      <c r="S17" s="35" t="str">
        <f t="shared" si="1"/>
        <v/>
      </c>
      <c r="T17" s="35" t="str">
        <f t="shared" si="3"/>
        <v/>
      </c>
      <c r="U17" s="35"/>
      <c r="V17" s="242" t="str">
        <f t="shared" si="2"/>
        <v>Unfilled fields to left</v>
      </c>
      <c r="X17" s="25"/>
      <c r="Y17" s="12"/>
    </row>
    <row r="18" spans="2:29">
      <c r="C18" s="17"/>
      <c r="D18" s="17"/>
      <c r="E18" s="506"/>
      <c r="F18" s="26"/>
      <c r="G18" s="27"/>
      <c r="H18" s="22"/>
      <c r="I18" s="22"/>
      <c r="J18" s="41"/>
      <c r="K18" s="41"/>
      <c r="L18" s="41"/>
      <c r="M18" s="41"/>
      <c r="N18" s="41"/>
      <c r="S18" s="41"/>
      <c r="T18" s="41"/>
      <c r="U18" s="41"/>
      <c r="V18" s="41"/>
      <c r="X18" s="27"/>
      <c r="Y18" s="12"/>
    </row>
    <row r="19" spans="2:29">
      <c r="B19" s="145" t="s">
        <v>1103</v>
      </c>
      <c r="C19" s="145"/>
      <c r="D19" s="145"/>
      <c r="E19" s="301"/>
      <c r="F19" s="145"/>
      <c r="G19" s="145"/>
      <c r="H19" s="145"/>
      <c r="I19" s="145"/>
      <c r="J19" s="301"/>
      <c r="K19" s="301"/>
      <c r="L19" s="301"/>
      <c r="M19" s="301"/>
      <c r="N19" s="301"/>
      <c r="Q19"/>
      <c r="R19"/>
      <c r="S19" s="40"/>
      <c r="T19" s="40"/>
      <c r="U19" s="40"/>
      <c r="V19" s="40"/>
      <c r="W19" s="19"/>
      <c r="X19" s="19"/>
      <c r="Y19" s="19"/>
      <c r="Z19" s="19"/>
      <c r="AA19" s="19"/>
      <c r="AB19" s="19"/>
      <c r="AC19" s="19"/>
    </row>
    <row r="20" spans="2:29">
      <c r="B20" s="16" t="s">
        <v>1104</v>
      </c>
      <c r="C20" s="184" t="s">
        <v>1245</v>
      </c>
      <c r="D20" s="179" t="s">
        <v>459</v>
      </c>
      <c r="E20" s="35"/>
      <c r="F20" s="21"/>
      <c r="G20" s="21"/>
      <c r="H20" s="21"/>
      <c r="I20" s="21"/>
      <c r="J20" s="300"/>
      <c r="K20" s="306"/>
      <c r="L20" s="306"/>
      <c r="M20" s="306"/>
      <c r="N20" s="242">
        <f t="shared" ref="N20:N31" si="4">IF($D20="MWh/yr (LHV)",$E20,$J20*$E20*(1-$L20)/Conversion_kWh_to_MJ)</f>
        <v>0</v>
      </c>
      <c r="O20" s="246" t="str">
        <f>IFERROR(N20/N8,"")</f>
        <v/>
      </c>
      <c r="Q20" s="515">
        <f>IF($D20="MWh/yr (LHV)",$E20,$E20*MAX(0, $J20*(1-$L20)-2.441*$L20)/Conversion_kWh_to_MJ)</f>
        <v>0</v>
      </c>
      <c r="R20" s="245" t="str">
        <f>IFERROR(Q20/(SUM($Q$20:$Q$22)),"")</f>
        <v/>
      </c>
      <c r="S20" s="42"/>
      <c r="T20" s="42"/>
      <c r="U20" s="42"/>
      <c r="V20" s="42"/>
      <c r="X20" s="21"/>
      <c r="Y20" s="12"/>
    </row>
    <row r="21" spans="2:29" s="14" customFormat="1">
      <c r="B21" s="186" t="s">
        <v>1008</v>
      </c>
      <c r="C21" s="184" t="s">
        <v>1106</v>
      </c>
      <c r="D21" s="179" t="s">
        <v>459</v>
      </c>
      <c r="E21" s="35"/>
      <c r="F21" s="21"/>
      <c r="G21" s="21"/>
      <c r="H21" s="20"/>
      <c r="I21" s="33"/>
      <c r="J21" s="300"/>
      <c r="K21" s="302"/>
      <c r="L21" s="302"/>
      <c r="M21" s="302"/>
      <c r="N21" s="242">
        <f t="shared" si="4"/>
        <v>0</v>
      </c>
      <c r="O21" s="12"/>
      <c r="P21" s="12"/>
      <c r="Q21" s="515">
        <f>IF($D21="MWh/yr (LHV)",$E21,$E21*MAX(0, $J21*(1-$L21)-2.441*$L21)/Conversion_kWh_to_MJ)</f>
        <v>0</v>
      </c>
      <c r="R21" s="245" t="str">
        <f t="shared" ref="R21:R22" si="5">IFERROR(Q21/(SUM($Q$20:$Q$22)),"")</f>
        <v/>
      </c>
      <c r="S21" s="42"/>
      <c r="T21" s="42"/>
      <c r="U21" s="107"/>
      <c r="V21" s="12"/>
      <c r="W21" s="23"/>
      <c r="X21" s="21"/>
      <c r="Y21" s="23"/>
      <c r="Z21" s="42"/>
      <c r="AB21" s="12"/>
    </row>
    <row r="22" spans="2:29" s="14" customFormat="1">
      <c r="B22" s="186" t="s">
        <v>1008</v>
      </c>
      <c r="C22" s="184" t="s">
        <v>1107</v>
      </c>
      <c r="D22" s="179" t="s">
        <v>459</v>
      </c>
      <c r="E22" s="35"/>
      <c r="F22" s="21"/>
      <c r="G22" s="21"/>
      <c r="H22" s="20"/>
      <c r="I22" s="20"/>
      <c r="J22" s="302"/>
      <c r="K22" s="302"/>
      <c r="L22" s="302"/>
      <c r="M22" s="302"/>
      <c r="N22" s="242">
        <f t="shared" si="4"/>
        <v>0</v>
      </c>
      <c r="O22" s="12"/>
      <c r="P22" s="12"/>
      <c r="Q22" s="515">
        <f>IF($D22="MWh/yr (LHV)",$E22,$E22*MAX(0, $J22*(1-$L22)-2.441*$L22)/Conversion_kWh_to_MJ)</f>
        <v>0</v>
      </c>
      <c r="R22" s="245" t="str">
        <f t="shared" si="5"/>
        <v/>
      </c>
      <c r="S22" s="42"/>
      <c r="T22" s="42"/>
      <c r="U22" s="107"/>
      <c r="V22" s="12"/>
      <c r="W22" s="23"/>
      <c r="X22" s="21"/>
      <c r="Y22" s="23"/>
      <c r="Z22" s="42"/>
      <c r="AB22" s="12"/>
    </row>
    <row r="23" spans="2:29" s="14" customFormat="1">
      <c r="B23" s="186" t="s">
        <v>1013</v>
      </c>
      <c r="C23" s="184" t="s">
        <v>1108</v>
      </c>
      <c r="D23" s="179" t="s">
        <v>459</v>
      </c>
      <c r="E23" s="35"/>
      <c r="F23" s="21"/>
      <c r="G23" s="21"/>
      <c r="H23" s="20"/>
      <c r="I23" s="20"/>
      <c r="J23" s="302"/>
      <c r="K23" s="302"/>
      <c r="L23" s="302"/>
      <c r="M23" s="302"/>
      <c r="N23" s="242">
        <f t="shared" si="4"/>
        <v>0</v>
      </c>
      <c r="O23" s="12"/>
      <c r="P23" s="12"/>
      <c r="Q23" s="12"/>
      <c r="R23" s="12"/>
      <c r="S23" s="107"/>
      <c r="T23" s="107"/>
      <c r="U23" s="107"/>
      <c r="V23" s="12"/>
      <c r="W23" s="23"/>
      <c r="X23" s="21"/>
      <c r="Y23" s="23"/>
      <c r="Z23" s="42"/>
      <c r="AB23" s="12"/>
    </row>
    <row r="24" spans="2:29" s="14" customFormat="1">
      <c r="B24" s="186" t="s">
        <v>1013</v>
      </c>
      <c r="C24" s="184" t="s">
        <v>1015</v>
      </c>
      <c r="D24" s="179" t="s">
        <v>459</v>
      </c>
      <c r="E24" s="35"/>
      <c r="F24" s="21"/>
      <c r="G24" s="21"/>
      <c r="H24" s="20"/>
      <c r="I24" s="20"/>
      <c r="J24" s="302"/>
      <c r="K24" s="302"/>
      <c r="L24" s="302"/>
      <c r="M24" s="302"/>
      <c r="N24" s="242">
        <f t="shared" si="4"/>
        <v>0</v>
      </c>
      <c r="O24" s="12"/>
      <c r="P24" s="12"/>
      <c r="Q24" s="12"/>
      <c r="R24" s="12"/>
      <c r="S24" s="107"/>
      <c r="T24" s="107"/>
      <c r="U24" s="107"/>
      <c r="V24" s="12"/>
      <c r="W24" s="23"/>
      <c r="X24" s="21"/>
      <c r="Y24" s="23"/>
      <c r="Z24" s="42"/>
      <c r="AB24" s="12"/>
    </row>
    <row r="25" spans="2:29" s="14" customFormat="1">
      <c r="B25" s="186" t="s">
        <v>1016</v>
      </c>
      <c r="C25" s="184" t="s">
        <v>1017</v>
      </c>
      <c r="D25" s="179" t="s">
        <v>459</v>
      </c>
      <c r="E25" s="35"/>
      <c r="F25" s="21"/>
      <c r="G25" s="21"/>
      <c r="H25" s="20"/>
      <c r="I25" s="36"/>
      <c r="J25" s="300"/>
      <c r="K25" s="302"/>
      <c r="L25" s="302"/>
      <c r="M25" s="302"/>
      <c r="N25" s="242">
        <f t="shared" si="4"/>
        <v>0</v>
      </c>
      <c r="O25" s="12"/>
      <c r="P25" s="12"/>
      <c r="Q25" s="12"/>
      <c r="R25" s="12"/>
      <c r="S25" s="107"/>
      <c r="T25" s="107"/>
      <c r="U25" s="107"/>
      <c r="V25" s="12"/>
      <c r="X25" s="21"/>
    </row>
    <row r="26" spans="2:29" s="14" customFormat="1">
      <c r="B26" s="186" t="s">
        <v>1016</v>
      </c>
      <c r="C26" s="184" t="s">
        <v>1018</v>
      </c>
      <c r="D26" s="179" t="s">
        <v>459</v>
      </c>
      <c r="E26" s="35"/>
      <c r="F26" s="21"/>
      <c r="G26" s="21"/>
      <c r="H26" s="20"/>
      <c r="I26" s="36"/>
      <c r="J26" s="300"/>
      <c r="K26" s="302"/>
      <c r="L26" s="302"/>
      <c r="M26" s="302"/>
      <c r="N26" s="242">
        <f t="shared" si="4"/>
        <v>0</v>
      </c>
      <c r="O26" s="12"/>
      <c r="P26" s="12"/>
      <c r="Q26" s="12"/>
      <c r="R26" s="12"/>
      <c r="S26" s="107"/>
      <c r="T26" s="107"/>
      <c r="U26" s="107"/>
      <c r="V26" s="12"/>
      <c r="X26" s="21"/>
    </row>
    <row r="27" spans="2:29" s="14" customFormat="1">
      <c r="B27" s="186" t="s">
        <v>1057</v>
      </c>
      <c r="C27" s="184" t="s">
        <v>1182</v>
      </c>
      <c r="D27" s="179" t="s">
        <v>459</v>
      </c>
      <c r="E27" s="35"/>
      <c r="F27" s="34"/>
      <c r="G27" s="21"/>
      <c r="H27" s="20"/>
      <c r="I27" s="36"/>
      <c r="J27" s="300"/>
      <c r="K27" s="302"/>
      <c r="L27" s="302"/>
      <c r="M27" s="302"/>
      <c r="N27" s="242">
        <f t="shared" si="4"/>
        <v>0</v>
      </c>
      <c r="O27" s="12"/>
      <c r="P27" s="12"/>
      <c r="Q27" s="12"/>
      <c r="R27" s="12"/>
      <c r="S27" s="35">
        <v>1000</v>
      </c>
      <c r="T27" s="518"/>
      <c r="U27" s="35" t="s">
        <v>1265</v>
      </c>
      <c r="V27" s="242" t="str">
        <f>IFERROR(IF(D27="tonnes/yr", $S27*$E27/($N$20*3.6), $T27*$E27*3.6/($N$20*3.6)), "Unfilled fields to left")</f>
        <v>Unfilled fields to left</v>
      </c>
      <c r="X27" s="21"/>
    </row>
    <row r="28" spans="2:29" s="14" customFormat="1">
      <c r="B28" s="186" t="s">
        <v>1113</v>
      </c>
      <c r="C28" s="184" t="s">
        <v>1073</v>
      </c>
      <c r="D28" s="179" t="s">
        <v>459</v>
      </c>
      <c r="E28" s="35"/>
      <c r="F28" s="34"/>
      <c r="G28" s="21"/>
      <c r="H28" s="20"/>
      <c r="I28" s="36"/>
      <c r="J28" s="300"/>
      <c r="K28" s="302"/>
      <c r="L28" s="302"/>
      <c r="M28" s="302"/>
      <c r="N28" s="242">
        <f t="shared" si="4"/>
        <v>0</v>
      </c>
      <c r="O28" s="12"/>
      <c r="P28" s="12"/>
      <c r="Q28" s="12"/>
      <c r="R28" s="12"/>
      <c r="S28" s="35">
        <v>28000</v>
      </c>
      <c r="T28" s="518"/>
      <c r="U28" s="35" t="s">
        <v>1059</v>
      </c>
      <c r="V28" s="242" t="str">
        <f>IFERROR(IF(D28="tonnes/yr", $S28*$E28/($N$20*3.6), $T28*$E28*3.6/($N$20*3.6)), "Unfilled fields to left")</f>
        <v>Unfilled fields to left</v>
      </c>
      <c r="X28" s="21"/>
    </row>
    <row r="29" spans="2:29" s="14" customFormat="1">
      <c r="B29" s="186" t="s">
        <v>1113</v>
      </c>
      <c r="C29" s="184" t="s">
        <v>1075</v>
      </c>
      <c r="D29" s="179" t="s">
        <v>459</v>
      </c>
      <c r="E29" s="35"/>
      <c r="F29" s="21"/>
      <c r="G29" s="21"/>
      <c r="H29" s="20"/>
      <c r="I29" s="36"/>
      <c r="J29" s="300"/>
      <c r="K29" s="302"/>
      <c r="L29" s="302"/>
      <c r="M29" s="302"/>
      <c r="N29" s="242">
        <f t="shared" si="4"/>
        <v>0</v>
      </c>
      <c r="O29" s="12"/>
      <c r="P29" s="12"/>
      <c r="Q29" s="12"/>
      <c r="R29" s="12"/>
      <c r="S29" s="35">
        <v>265000</v>
      </c>
      <c r="T29" s="518"/>
      <c r="U29" s="35" t="s">
        <v>1059</v>
      </c>
      <c r="V29" s="242" t="str">
        <f>IFERROR(IF(D29="tonnes/yr", $S29*$E29/($N$20*3.6), $T29*$E29*3.6/($N$20*3.6)), "Unfilled fields to left")</f>
        <v>Unfilled fields to left</v>
      </c>
      <c r="X29" s="21"/>
    </row>
    <row r="30" spans="2:29" s="14" customFormat="1">
      <c r="B30" s="16"/>
      <c r="C30" s="15"/>
      <c r="D30" s="179"/>
      <c r="E30" s="35"/>
      <c r="F30" s="21"/>
      <c r="G30" s="21"/>
      <c r="H30" s="20"/>
      <c r="I30" s="36"/>
      <c r="J30" s="300"/>
      <c r="K30" s="302"/>
      <c r="L30" s="302"/>
      <c r="M30" s="302"/>
      <c r="N30" s="242">
        <f t="shared" si="4"/>
        <v>0</v>
      </c>
      <c r="O30" s="12"/>
      <c r="P30" s="12"/>
      <c r="Q30" s="12"/>
      <c r="R30" s="12"/>
      <c r="S30" s="300"/>
      <c r="T30" s="477"/>
      <c r="U30" s="302"/>
      <c r="V30" s="242" t="str">
        <f>IFERROR(IF(D30="tonnes/yr", $S30*$E30/($N$20*3.6), $T30*$E30*3.6/($N$20*3.6)), "Unfilled fields to left")</f>
        <v>Unfilled fields to left</v>
      </c>
      <c r="X30" s="21"/>
    </row>
    <row r="31" spans="2:29" s="14" customFormat="1">
      <c r="B31" s="16"/>
      <c r="C31" s="15"/>
      <c r="D31" s="179"/>
      <c r="E31" s="35"/>
      <c r="F31" s="21"/>
      <c r="G31" s="21"/>
      <c r="H31" s="20"/>
      <c r="I31" s="36"/>
      <c r="J31" s="300"/>
      <c r="K31" s="302"/>
      <c r="L31" s="302"/>
      <c r="M31" s="302"/>
      <c r="N31" s="242">
        <f t="shared" si="4"/>
        <v>0</v>
      </c>
      <c r="O31" s="12"/>
      <c r="P31" s="12"/>
      <c r="Q31" s="12"/>
      <c r="R31" s="12"/>
      <c r="S31" s="300"/>
      <c r="T31" s="477"/>
      <c r="U31" s="302"/>
      <c r="V31" s="242" t="str">
        <f>IFERROR(IF(D31="tonnes/yr", $S31*$E31/($N$20*3.6), $T31*$E31*3.6/($N$20*3.6)), "Unfilled fields to left")</f>
        <v>Unfilled fields to left</v>
      </c>
      <c r="X31" s="21"/>
    </row>
    <row r="32" spans="2:29">
      <c r="C32" s="17"/>
      <c r="D32" s="17"/>
      <c r="E32" s="140"/>
      <c r="F32" s="17"/>
      <c r="H32" s="18"/>
      <c r="I32" s="18"/>
      <c r="J32" s="40"/>
      <c r="K32" s="40"/>
      <c r="L32" s="40"/>
      <c r="M32" s="40"/>
      <c r="N32" s="40"/>
      <c r="O32" s="12"/>
      <c r="P32" s="12"/>
      <c r="S32" s="40"/>
      <c r="T32" s="40"/>
      <c r="U32" s="40"/>
      <c r="V32" s="40"/>
      <c r="Y32" s="12"/>
    </row>
    <row r="33" spans="2:25">
      <c r="D33" s="17"/>
      <c r="E33" s="140"/>
      <c r="J33" s="39"/>
      <c r="K33" s="39"/>
      <c r="L33" s="39"/>
      <c r="M33" s="39"/>
      <c r="O33" s="12"/>
      <c r="P33" s="12"/>
      <c r="S33" s="39"/>
      <c r="T33" s="39"/>
      <c r="U33" s="38" t="s">
        <v>1114</v>
      </c>
      <c r="V33" s="153">
        <f>SUM(V7:V32)</f>
        <v>0</v>
      </c>
      <c r="Y33" s="12"/>
    </row>
    <row r="34" spans="2:25">
      <c r="B34" s="145" t="s">
        <v>132</v>
      </c>
      <c r="C34" s="159"/>
      <c r="D34" s="159"/>
      <c r="E34" s="499"/>
      <c r="I34" s="12"/>
      <c r="J34" s="107"/>
      <c r="K34" s="107"/>
      <c r="L34" s="107"/>
      <c r="M34" s="107"/>
      <c r="N34" s="107"/>
      <c r="O34" s="12"/>
      <c r="P34" s="12"/>
      <c r="S34" s="107"/>
      <c r="T34" s="107"/>
      <c r="U34" s="107"/>
      <c r="Y34" s="12"/>
    </row>
    <row r="35" spans="2:25">
      <c r="B35" s="16" t="s">
        <v>1086</v>
      </c>
      <c r="C35" s="15" t="s">
        <v>1087</v>
      </c>
      <c r="D35" s="15" t="s">
        <v>1088</v>
      </c>
      <c r="E35" s="501"/>
      <c r="G35" s="19"/>
      <c r="H35" s="12"/>
      <c r="I35" s="12"/>
      <c r="J35" s="107"/>
      <c r="K35" s="107"/>
      <c r="L35" s="107"/>
      <c r="M35" s="107"/>
      <c r="N35" s="107"/>
      <c r="O35" s="12"/>
      <c r="P35" s="12"/>
      <c r="S35" s="107"/>
      <c r="T35" s="107"/>
      <c r="U35" s="107"/>
      <c r="V35" s="12"/>
      <c r="X35" s="25"/>
      <c r="Y35" s="12"/>
    </row>
    <row r="36" spans="2:25">
      <c r="B36" s="16" t="s">
        <v>1119</v>
      </c>
      <c r="C36" s="15" t="s">
        <v>1120</v>
      </c>
      <c r="D36" s="15" t="s">
        <v>299</v>
      </c>
      <c r="E36" s="501"/>
      <c r="H36" s="12"/>
      <c r="I36" s="12"/>
      <c r="J36" s="107"/>
      <c r="K36" s="107"/>
      <c r="L36" s="107"/>
      <c r="M36" s="107"/>
      <c r="N36" s="107"/>
      <c r="O36" s="12"/>
      <c r="P36" s="12"/>
      <c r="S36" s="107"/>
      <c r="T36" s="107"/>
      <c r="U36" s="107"/>
      <c r="V36" s="12"/>
      <c r="X36" s="25"/>
      <c r="Y36" s="12"/>
    </row>
    <row r="37" spans="2:25">
      <c r="B37" s="16"/>
      <c r="C37" s="15"/>
      <c r="D37" s="15"/>
      <c r="E37" s="507"/>
      <c r="J37" s="39"/>
      <c r="K37" s="39"/>
      <c r="L37" s="39"/>
      <c r="M37" s="39"/>
      <c r="S37" s="39"/>
      <c r="T37" s="39"/>
      <c r="U37" s="39"/>
      <c r="X37" s="25"/>
    </row>
    <row r="38" spans="2:25">
      <c r="B38" s="16"/>
      <c r="C38" s="15"/>
      <c r="D38" s="15"/>
      <c r="E38" s="507"/>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H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state="hidden">
      <pane xSplit="3" ySplit="5" topLeftCell="H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4D40DF06-8074-45B7-B099-9F7A53B442E9}">
      <formula1>Flow_units</formula1>
    </dataValidation>
    <dataValidation type="custom" allowBlank="1" showInputMessage="1" showErrorMessage="1" error="Please do not change this formula" prompt="Please do not change this formula" sqref="W4 V1:V4 V6:V1048576 S5:V5" xr:uid="{A0862A00-CD26-42C1-AE68-2E8586E4BCDF}">
      <formula1>"Please do not change this formula"</formula1>
    </dataValidation>
    <dataValidation type="custom" allowBlank="1" showInputMessage="1" showErrorMessage="1" error="Please do not change this formula" sqref="R6:R19 R23:R1048576 N1:N1048576 O1:R5 O6:Q1048576" xr:uid="{B6B9C25B-7F87-4E18-A015-C37D19A5DFA0}">
      <formula1>"Please do not change this formula"</formula1>
    </dataValidation>
    <dataValidation type="custom" allowBlank="1" showInputMessage="1" showErrorMessage="1" error="Please do not change" sqref="R20:R22" xr:uid="{035CFD45-8316-46C3-AF7D-2C4B5CC007FF}">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9BB0A9C6-764C-4B1C-A912-90CB2C3002C9}">
      <formula1>0</formula1>
    </dataValidation>
  </dataValidations>
  <hyperlinks>
    <hyperlink ref="I2:J2" location="'Waste Gasification (+CCS)'!A1" display="Go to the next step of this pathway" xr:uid="{C1CA7BCB-3305-4D8C-B2B9-CA5611FCF6B4}"/>
    <hyperlink ref="I2:K2" location="Waste_Gasification_CCS!A1" display="Go to the next step of this pathway" xr:uid="{5602B993-1F8F-4B48-8B12-BEE4A30FD0C7}"/>
  </hyperlinks>
  <pageMargins left="0" right="0" top="0" bottom="0" header="0" footer="0"/>
  <pageSetup paperSize="9" orientation="portrait" r:id="rId10"/>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3500-000001000000}">
            <xm:f>AND(Path&lt;&gt;Units!$B$137, Path &lt;&gt;Units!$B$138,Master_Switch="On")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3" id="{00000000-000E-0000-2C00-000002000000}">
            <xm:f>AND(OR(GHG_WASTE_GASIFICATION!$D$5="Default",GHG_WASTE_GASIFICATION!$D$27="Default"),Master_Switch="On")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907C6-176E-41EA-8ADF-601E7AE18E62}">
  <sheetPr codeName="Sheet39">
    <tabColor theme="7" tint="0.59999389629810485"/>
  </sheetPr>
  <dimension ref="A1:AC273"/>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457"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18.7265625" style="39" customWidth="1"/>
    <col min="16" max="16" width="7.453125" customWidth="1"/>
    <col min="17" max="17" width="16.54296875" style="12" customWidth="1"/>
    <col min="18" max="18" width="17.54296875" style="12" customWidth="1"/>
    <col min="19" max="20" width="20.7265625" style="13" customWidth="1"/>
    <col min="21" max="21" width="22.7265625" style="13" customWidth="1"/>
    <col min="22" max="22" width="20.26953125" style="39" customWidth="1"/>
    <col min="23" max="23" width="8.453125" style="12" customWidth="1"/>
    <col min="24" max="24" width="26" style="12" customWidth="1"/>
    <col min="26" max="16384" width="7.1796875" style="12"/>
  </cols>
  <sheetData>
    <row r="1" spans="1:28" ht="31.9" customHeight="1">
      <c r="A1" s="80" t="str">
        <f>IF(AND(Path&lt;&gt;Units!$B$137,Path&lt;&gt;Units!$B$138,Master_Switch="On"),"User should not fill in this sheet, but switch to other non-blank GHG worksheets","")</f>
        <v>User should not fill in this sheet, but switch to other non-blank GHG worksheets</v>
      </c>
      <c r="E1" s="256"/>
    </row>
    <row r="2" spans="1:28" ht="20.5" customHeight="1">
      <c r="E2" s="256"/>
      <c r="I2" s="729" t="s">
        <v>983</v>
      </c>
      <c r="J2" s="731"/>
      <c r="K2" s="732"/>
      <c r="L2" s="557"/>
      <c r="M2" s="557"/>
    </row>
    <row r="3" spans="1:28" ht="15" customHeight="1">
      <c r="E3" s="256"/>
      <c r="L3" s="553"/>
      <c r="N3" s="553"/>
      <c r="O3" s="553"/>
    </row>
    <row r="4" spans="1:28" ht="15.65" customHeight="1" thickBot="1">
      <c r="B4" s="3"/>
      <c r="C4" s="3"/>
      <c r="D4" s="3"/>
      <c r="E4" s="455"/>
      <c r="F4" s="3"/>
      <c r="G4" s="3"/>
      <c r="H4" s="1"/>
      <c r="I4" s="1"/>
      <c r="J4" s="1"/>
      <c r="K4" s="1"/>
      <c r="L4" s="1"/>
      <c r="M4" s="1"/>
      <c r="N4" s="37"/>
      <c r="O4" s="37"/>
      <c r="P4" s="1"/>
      <c r="Q4" s="1"/>
      <c r="R4" s="3"/>
      <c r="S4" s="1"/>
      <c r="T4" s="1"/>
      <c r="U4" s="1"/>
      <c r="V4" s="37"/>
      <c r="W4" s="37"/>
      <c r="X4" s="37"/>
    </row>
    <row r="5" spans="1:28"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8" ht="15" thickTop="1">
      <c r="O6" s="12"/>
      <c r="Q6" s="39"/>
    </row>
    <row r="7" spans="1:28">
      <c r="B7" s="145" t="s">
        <v>1003</v>
      </c>
      <c r="C7" s="145"/>
      <c r="D7" s="145"/>
      <c r="E7" s="324"/>
      <c r="F7" s="145"/>
      <c r="G7" s="145"/>
      <c r="H7" s="145"/>
      <c r="I7" s="145"/>
      <c r="J7" s="145"/>
      <c r="K7" s="145"/>
      <c r="L7" s="145"/>
      <c r="M7" s="145"/>
      <c r="N7" s="301"/>
      <c r="O7" s="556"/>
      <c r="P7" s="556"/>
      <c r="Q7" s="556"/>
      <c r="R7" s="556"/>
      <c r="S7" s="18"/>
      <c r="T7" s="18"/>
      <c r="U7" s="18"/>
      <c r="V7" s="40"/>
      <c r="Y7" s="12"/>
    </row>
    <row r="8" spans="1:28">
      <c r="B8" s="16" t="s">
        <v>1004</v>
      </c>
      <c r="C8" s="184" t="s">
        <v>1245</v>
      </c>
      <c r="D8" s="179" t="s">
        <v>459</v>
      </c>
      <c r="E8" s="35"/>
      <c r="F8" s="24"/>
      <c r="G8" s="21"/>
      <c r="H8" s="21"/>
      <c r="I8" s="21"/>
      <c r="J8" s="35"/>
      <c r="K8" s="306"/>
      <c r="L8" s="306"/>
      <c r="M8" s="306"/>
      <c r="N8" s="242">
        <f t="shared" ref="N8:N17" si="0">IF($D8="MWh/yr (LHV)",$E8,$J8*$E8*(1-$L8)/Conversion_kWh_to_MJ)</f>
        <v>0</v>
      </c>
      <c r="O8" s="12"/>
      <c r="P8" s="12"/>
      <c r="Q8" s="555"/>
      <c r="S8" s="40"/>
      <c r="T8" s="40"/>
      <c r="U8" s="40"/>
      <c r="V8" s="40"/>
      <c r="X8" s="21"/>
      <c r="Y8" s="12"/>
    </row>
    <row r="9" spans="1:28">
      <c r="B9" s="16" t="s">
        <v>1006</v>
      </c>
      <c r="C9" s="15" t="s">
        <v>1266</v>
      </c>
      <c r="D9" s="15" t="s">
        <v>459</v>
      </c>
      <c r="E9" s="35">
        <f>Hydrogen_flow</f>
        <v>0</v>
      </c>
      <c r="F9" s="21"/>
      <c r="G9" s="21"/>
      <c r="H9" s="21"/>
      <c r="I9" s="21"/>
      <c r="J9" s="35">
        <v>120</v>
      </c>
      <c r="K9" s="306"/>
      <c r="L9" s="552">
        <v>0</v>
      </c>
      <c r="M9" s="306"/>
      <c r="N9" s="242">
        <f t="shared" si="0"/>
        <v>0</v>
      </c>
      <c r="O9" s="244" t="str">
        <f>IFERROR(N9/N8,"")</f>
        <v/>
      </c>
      <c r="P9" s="12"/>
      <c r="Q9" s="515">
        <f>IF($D9="MWh/yr (LHV)",$E9,$E9*MAX(0, $J9*(1-$L9)-2.441*$L9)/Conversion_kWh_to_MJ)</f>
        <v>0</v>
      </c>
      <c r="R9" s="245" t="str">
        <f>IFERROR(Q9/(SUM($Q$9:$Q$13)),"")</f>
        <v/>
      </c>
      <c r="S9" s="42"/>
      <c r="T9" s="42"/>
      <c r="U9" s="42"/>
      <c r="V9" s="12"/>
      <c r="X9" s="21"/>
      <c r="Y9" s="12"/>
    </row>
    <row r="10" spans="1:28">
      <c r="B10" s="186" t="s">
        <v>1008</v>
      </c>
      <c r="C10" s="184" t="s">
        <v>1009</v>
      </c>
      <c r="D10" s="179" t="s">
        <v>479</v>
      </c>
      <c r="E10" s="35"/>
      <c r="F10" s="21"/>
      <c r="G10" s="21"/>
      <c r="H10" s="20"/>
      <c r="I10" s="33"/>
      <c r="J10" s="300"/>
      <c r="K10" s="302"/>
      <c r="L10" s="302"/>
      <c r="M10" s="302"/>
      <c r="N10" s="242">
        <f t="shared" si="0"/>
        <v>0</v>
      </c>
      <c r="P10" s="12"/>
      <c r="Q10" s="515">
        <f>IF($D10="MWh/yr (LHV)",$E10,$E10*MAX(0, $J10*(1-$L10)-2.441*$L10)/Conversion_kWh_to_MJ)</f>
        <v>0</v>
      </c>
      <c r="R10" s="245" t="str">
        <f t="shared" ref="R10:R13" si="1">IFERROR(Q10/(SUM($Q$9:$Q$13)),"")</f>
        <v/>
      </c>
      <c r="S10" s="42"/>
      <c r="T10" s="42"/>
      <c r="U10" s="42"/>
      <c r="V10" s="19"/>
      <c r="W10" s="23"/>
      <c r="X10" s="21"/>
      <c r="Y10" s="12"/>
    </row>
    <row r="11" spans="1:28">
      <c r="B11" s="186" t="s">
        <v>1008</v>
      </c>
      <c r="C11" s="184" t="s">
        <v>1098</v>
      </c>
      <c r="D11" s="179" t="s">
        <v>479</v>
      </c>
      <c r="E11" s="35"/>
      <c r="F11" s="21"/>
      <c r="G11" s="21"/>
      <c r="H11" s="20"/>
      <c r="I11" s="20"/>
      <c r="J11" s="302"/>
      <c r="K11" s="302"/>
      <c r="L11" s="302"/>
      <c r="M11" s="302"/>
      <c r="N11" s="242">
        <f t="shared" si="0"/>
        <v>0</v>
      </c>
      <c r="P11" s="12"/>
      <c r="Q11" s="515">
        <f>IF($D11="MWh/yr (LHV)",$E11,$E11*MAX(0, $J11*(1-$L11)-2.441*$L11)/Conversion_kWh_to_MJ)</f>
        <v>0</v>
      </c>
      <c r="R11" s="245" t="str">
        <f t="shared" si="1"/>
        <v/>
      </c>
      <c r="S11" s="42"/>
      <c r="T11" s="42"/>
      <c r="U11" s="42"/>
      <c r="V11" s="14"/>
      <c r="W11" s="23"/>
      <c r="X11" s="21"/>
      <c r="Y11" s="12"/>
    </row>
    <row r="12" spans="1:28">
      <c r="B12" s="186" t="s">
        <v>1008</v>
      </c>
      <c r="C12" s="184" t="s">
        <v>1011</v>
      </c>
      <c r="D12" s="179" t="s">
        <v>459</v>
      </c>
      <c r="E12" s="35"/>
      <c r="F12" s="21"/>
      <c r="G12" s="21"/>
      <c r="H12" s="20"/>
      <c r="I12" s="20"/>
      <c r="J12" s="302"/>
      <c r="K12" s="302"/>
      <c r="L12" s="302"/>
      <c r="M12" s="302"/>
      <c r="N12" s="242">
        <f t="shared" si="0"/>
        <v>0</v>
      </c>
      <c r="P12" s="12"/>
      <c r="Q12" s="515">
        <f>IF($D12="MWh/yr (LHV)",$E12,$E12*MAX(0, $J12*(1-$L12)-2.441*$L12)/Conversion_kWh_to_MJ)</f>
        <v>0</v>
      </c>
      <c r="R12" s="245" t="str">
        <f t="shared" si="1"/>
        <v/>
      </c>
      <c r="S12" s="40"/>
      <c r="T12" s="40"/>
      <c r="U12" s="40"/>
      <c r="V12" s="40"/>
      <c r="X12" s="21"/>
      <c r="Y12" s="12"/>
    </row>
    <row r="13" spans="1:28">
      <c r="B13" s="186" t="s">
        <v>1008</v>
      </c>
      <c r="C13" s="184" t="s">
        <v>1012</v>
      </c>
      <c r="D13" s="179" t="s">
        <v>459</v>
      </c>
      <c r="E13" s="35"/>
      <c r="F13" s="21"/>
      <c r="G13" s="21"/>
      <c r="H13" s="20"/>
      <c r="I13" s="20"/>
      <c r="J13" s="302"/>
      <c r="K13" s="302"/>
      <c r="L13" s="302"/>
      <c r="M13" s="302"/>
      <c r="N13" s="242">
        <f t="shared" si="0"/>
        <v>0</v>
      </c>
      <c r="P13" s="12"/>
      <c r="Q13" s="515">
        <f>IF($D13="MWh/yr (LHV)",$E13,$E13*MAX(0, $J13*(1-$L13)-2.441*$L13)/Conversion_kWh_to_MJ)</f>
        <v>0</v>
      </c>
      <c r="R13" s="245" t="str">
        <f t="shared" si="1"/>
        <v/>
      </c>
      <c r="S13" s="40"/>
      <c r="T13" s="40"/>
      <c r="U13" s="40"/>
      <c r="V13" s="40"/>
      <c r="X13" s="21"/>
      <c r="Y13" s="12"/>
    </row>
    <row r="14" spans="1:28" s="14" customFormat="1">
      <c r="B14" s="186" t="s">
        <v>1013</v>
      </c>
      <c r="C14" s="184" t="s">
        <v>1108</v>
      </c>
      <c r="D14" s="179" t="s">
        <v>459</v>
      </c>
      <c r="E14" s="35"/>
      <c r="F14" s="21"/>
      <c r="G14" s="21"/>
      <c r="H14" s="20"/>
      <c r="I14" s="20"/>
      <c r="J14" s="302"/>
      <c r="K14" s="302"/>
      <c r="L14" s="302"/>
      <c r="M14" s="302"/>
      <c r="N14" s="242">
        <f t="shared" si="0"/>
        <v>0</v>
      </c>
      <c r="P14" s="12"/>
      <c r="Q14" s="555"/>
      <c r="R14" s="12"/>
      <c r="S14" s="107"/>
      <c r="T14" s="107"/>
      <c r="U14" s="107"/>
      <c r="V14" s="12"/>
      <c r="W14" s="23"/>
      <c r="X14" s="21"/>
      <c r="Y14" s="23"/>
      <c r="Z14" s="42"/>
      <c r="AB14" s="12"/>
    </row>
    <row r="15" spans="1:28" s="14" customFormat="1">
      <c r="B15" s="186" t="s">
        <v>1013</v>
      </c>
      <c r="C15" s="184" t="s">
        <v>1015</v>
      </c>
      <c r="D15" s="179" t="s">
        <v>459</v>
      </c>
      <c r="E15" s="35"/>
      <c r="F15" s="21"/>
      <c r="G15" s="21"/>
      <c r="H15" s="20"/>
      <c r="I15" s="20"/>
      <c r="J15" s="302"/>
      <c r="K15" s="302"/>
      <c r="L15" s="554"/>
      <c r="M15" s="302"/>
      <c r="N15" s="242">
        <f t="shared" si="0"/>
        <v>0</v>
      </c>
      <c r="P15" s="12"/>
      <c r="Q15" s="555"/>
      <c r="R15" s="12"/>
      <c r="S15" s="107"/>
      <c r="T15" s="107"/>
      <c r="U15" s="107"/>
      <c r="V15" s="12"/>
      <c r="W15" s="23"/>
      <c r="X15" s="21"/>
      <c r="Y15" s="23"/>
      <c r="Z15" s="42"/>
      <c r="AB15" s="12"/>
    </row>
    <row r="16" spans="1:28" s="14" customFormat="1">
      <c r="B16" s="186" t="s">
        <v>1016</v>
      </c>
      <c r="C16" s="184" t="s">
        <v>1017</v>
      </c>
      <c r="D16" s="179" t="s">
        <v>459</v>
      </c>
      <c r="E16" s="35"/>
      <c r="F16" s="21"/>
      <c r="G16" s="21"/>
      <c r="H16" s="20"/>
      <c r="I16" s="36"/>
      <c r="J16" s="300"/>
      <c r="K16" s="302"/>
      <c r="L16" s="302"/>
      <c r="M16" s="302"/>
      <c r="N16" s="242">
        <f t="shared" si="0"/>
        <v>0</v>
      </c>
      <c r="P16" s="12"/>
      <c r="Q16" s="555"/>
      <c r="R16" s="12"/>
      <c r="S16" s="107"/>
      <c r="T16" s="107"/>
      <c r="U16" s="107"/>
      <c r="V16" s="12"/>
      <c r="X16" s="21"/>
    </row>
    <row r="17" spans="2:29" s="14" customFormat="1">
      <c r="B17" s="186" t="s">
        <v>1016</v>
      </c>
      <c r="C17" s="184" t="s">
        <v>1018</v>
      </c>
      <c r="D17" s="179" t="s">
        <v>459</v>
      </c>
      <c r="E17" s="35"/>
      <c r="F17" s="21"/>
      <c r="G17" s="21"/>
      <c r="H17" s="20"/>
      <c r="I17" s="36"/>
      <c r="J17" s="300"/>
      <c r="K17" s="302"/>
      <c r="L17" s="302"/>
      <c r="M17" s="302"/>
      <c r="N17" s="242">
        <f t="shared" si="0"/>
        <v>0</v>
      </c>
      <c r="P17" s="12"/>
      <c r="Q17" s="555"/>
      <c r="R17" s="12"/>
      <c r="S17" s="107"/>
      <c r="T17" s="107"/>
      <c r="U17" s="107"/>
      <c r="V17" s="360"/>
      <c r="X17" s="21"/>
    </row>
    <row r="18" spans="2:29">
      <c r="B18" s="68"/>
      <c r="C18" s="69"/>
      <c r="D18" s="78"/>
      <c r="E18" s="75"/>
      <c r="F18" s="76"/>
      <c r="G18" s="79"/>
      <c r="H18" s="71"/>
      <c r="I18" s="71"/>
      <c r="J18" s="75"/>
      <c r="K18" s="73"/>
      <c r="L18" s="73"/>
      <c r="M18" s="73"/>
      <c r="N18" s="73"/>
      <c r="O18" s="73"/>
      <c r="P18" s="12"/>
      <c r="S18" s="40"/>
      <c r="T18" s="40"/>
      <c r="U18" s="40"/>
      <c r="V18" s="12"/>
      <c r="X18" s="76"/>
      <c r="Y18" s="12"/>
    </row>
    <row r="19" spans="2:29" ht="31">
      <c r="B19" s="80" t="str">
        <f>IF(AND(OR(GHG_WASTE_GASIFICATION!$D$9="Default",GHG_WASTE_GASIFICATION!$D$31="Default"),Master_Switch="On"),"Default data selected for the emissions category below, move to the next emissions category within this step","")</f>
        <v/>
      </c>
      <c r="C19" s="69"/>
      <c r="D19" s="78"/>
      <c r="E19" s="75"/>
      <c r="F19" s="76"/>
      <c r="G19" s="79"/>
      <c r="H19" s="71"/>
      <c r="I19" s="71"/>
      <c r="J19" s="75"/>
      <c r="K19" s="73"/>
      <c r="L19" s="73"/>
      <c r="M19" s="73"/>
      <c r="N19" s="73"/>
      <c r="O19" s="73"/>
      <c r="P19" s="12"/>
      <c r="S19" s="40"/>
      <c r="T19" s="40"/>
      <c r="U19" s="40"/>
      <c r="V19" s="360" t="s">
        <v>1037</v>
      </c>
      <c r="X19" s="76"/>
      <c r="Y19" s="12"/>
    </row>
    <row r="20" spans="2:29">
      <c r="B20" s="145" t="s">
        <v>1123</v>
      </c>
      <c r="C20" s="146"/>
      <c r="D20" s="146"/>
      <c r="E20" s="147"/>
      <c r="F20" s="148"/>
      <c r="G20" s="149"/>
      <c r="H20" s="150"/>
      <c r="I20" s="150"/>
      <c r="J20" s="147"/>
      <c r="K20" s="492"/>
      <c r="L20" s="492"/>
      <c r="M20" s="492"/>
      <c r="N20" s="491"/>
      <c r="O20" s="491"/>
      <c r="P20" s="151"/>
      <c r="Q20" s="152"/>
      <c r="R20" s="152"/>
      <c r="S20" s="480" t="s">
        <v>1267</v>
      </c>
      <c r="T20" s="480" t="s">
        <v>1267</v>
      </c>
      <c r="U20" s="480"/>
      <c r="V20" s="153">
        <f>SUM(V21:V30)</f>
        <v>0</v>
      </c>
      <c r="W20" s="91"/>
      <c r="Y20" s="12"/>
    </row>
    <row r="21" spans="2:29">
      <c r="B21" s="186" t="s">
        <v>1021</v>
      </c>
      <c r="C21" s="184" t="s">
        <v>1223</v>
      </c>
      <c r="D21" s="179" t="s">
        <v>479</v>
      </c>
      <c r="E21" s="35"/>
      <c r="F21" s="24"/>
      <c r="G21" s="21"/>
      <c r="H21" s="21"/>
      <c r="I21" s="21"/>
      <c r="J21" s="303"/>
      <c r="K21" s="306"/>
      <c r="L21" s="306"/>
      <c r="M21" s="306"/>
      <c r="N21" s="242">
        <f t="shared" ref="N21:N30" si="2">IF($D21="MWh/yr (LHV)",$E21,$J21*$E21*(1-$L21)/Conversion_kWh_to_MJ)</f>
        <v>0</v>
      </c>
      <c r="O21" s="555"/>
      <c r="P21" s="12"/>
      <c r="S21" s="300" t="str">
        <f t="shared" ref="S21:S30" si="3">IF(B21="", "", IF(D21="MWh/yr (LHV)", "Use column to right", "Enter data here"))</f>
        <v>Use column to right</v>
      </c>
      <c r="T21" s="300" t="e">
        <f>IF(B21="", "", IF(D21="MWh/yr (LHV)", Initial_questions!$E$43*1/Conversion_kWh_to_MJ, "Use column to left"))</f>
        <v>#VALUE!</v>
      </c>
      <c r="U21" s="35" t="s">
        <v>1062</v>
      </c>
      <c r="V21" s="243" t="str">
        <f t="shared" ref="V21:V30" si="4">IFERROR(IF(D21="tonnes/yr", $S21*$E21/($N$9*3.6), $T21*$E21*3.6/($N$9*3.6)), "Unfilled fields to left")</f>
        <v>Unfilled fields to left</v>
      </c>
      <c r="X21" s="21"/>
      <c r="Y21" s="12"/>
    </row>
    <row r="22" spans="2:29" s="14" customFormat="1">
      <c r="B22" s="186" t="s">
        <v>1021</v>
      </c>
      <c r="C22" s="184" t="s">
        <v>1039</v>
      </c>
      <c r="D22" s="179" t="s">
        <v>479</v>
      </c>
      <c r="E22" s="35"/>
      <c r="F22" s="24"/>
      <c r="G22" s="21"/>
      <c r="H22" s="63"/>
      <c r="I22" s="63"/>
      <c r="J22" s="304"/>
      <c r="K22" s="306"/>
      <c r="L22" s="306"/>
      <c r="M22" s="306"/>
      <c r="N22" s="242">
        <f t="shared" si="2"/>
        <v>0</v>
      </c>
      <c r="O22" s="555"/>
      <c r="P22" s="19"/>
      <c r="Q22" s="19"/>
      <c r="R22" s="19"/>
      <c r="S22" s="300" t="str">
        <f t="shared" si="3"/>
        <v>Use column to right</v>
      </c>
      <c r="T22" s="300" t="str">
        <f t="shared" ref="T22:T30" si="5">IF(B22="", "", IF(D22="MWh/yr (LHV)", "Enter data here", "Use column to left"))</f>
        <v>Enter data here</v>
      </c>
      <c r="U22" s="35" t="s">
        <v>1040</v>
      </c>
      <c r="V22" s="357" t="str">
        <f t="shared" si="4"/>
        <v>Unfilled fields to left</v>
      </c>
      <c r="X22" s="21"/>
    </row>
    <row r="23" spans="2:29" s="14" customFormat="1">
      <c r="B23" s="186" t="s">
        <v>1021</v>
      </c>
      <c r="C23" s="184" t="s">
        <v>1041</v>
      </c>
      <c r="D23" s="179" t="s">
        <v>479</v>
      </c>
      <c r="E23" s="35"/>
      <c r="F23" s="24"/>
      <c r="G23" s="21"/>
      <c r="H23" s="63"/>
      <c r="I23" s="63"/>
      <c r="J23" s="304"/>
      <c r="K23" s="306"/>
      <c r="L23" s="306"/>
      <c r="M23" s="306"/>
      <c r="N23" s="242">
        <f t="shared" si="2"/>
        <v>0</v>
      </c>
      <c r="O23" s="555"/>
      <c r="P23" s="19"/>
      <c r="Q23" s="19"/>
      <c r="R23" s="19"/>
      <c r="S23" s="517" t="str">
        <f t="shared" si="3"/>
        <v>Use column to right</v>
      </c>
      <c r="T23" s="300" t="str">
        <f t="shared" si="5"/>
        <v>Enter data here</v>
      </c>
      <c r="U23" s="35" t="s">
        <v>1040</v>
      </c>
      <c r="V23" s="357" t="str">
        <f t="shared" si="4"/>
        <v>Unfilled fields to left</v>
      </c>
      <c r="X23" s="65"/>
    </row>
    <row r="24" spans="2:29">
      <c r="B24" s="186" t="s">
        <v>1042</v>
      </c>
      <c r="C24" s="184" t="s">
        <v>1043</v>
      </c>
      <c r="D24" s="179" t="s">
        <v>459</v>
      </c>
      <c r="E24" s="35"/>
      <c r="F24" s="82"/>
      <c r="G24" s="21"/>
      <c r="H24" s="20"/>
      <c r="I24" s="36"/>
      <c r="J24" s="300"/>
      <c r="K24" s="302"/>
      <c r="L24" s="302"/>
      <c r="M24" s="302"/>
      <c r="N24" s="242">
        <f t="shared" si="2"/>
        <v>0</v>
      </c>
      <c r="O24" s="555"/>
      <c r="P24" s="12"/>
      <c r="S24" s="300" t="str">
        <f t="shared" si="3"/>
        <v>Enter data here</v>
      </c>
      <c r="T24" s="300" t="str">
        <f t="shared" si="5"/>
        <v>Use column to left</v>
      </c>
      <c r="U24" s="35" t="s">
        <v>1044</v>
      </c>
      <c r="V24" s="357" t="str">
        <f t="shared" si="4"/>
        <v>Unfilled fields to left</v>
      </c>
      <c r="X24" s="25"/>
      <c r="Y24" s="12"/>
    </row>
    <row r="25" spans="2:29">
      <c r="B25" s="186" t="s">
        <v>1042</v>
      </c>
      <c r="C25" s="184" t="s">
        <v>1045</v>
      </c>
      <c r="D25" s="179" t="s">
        <v>459</v>
      </c>
      <c r="E25" s="35"/>
      <c r="F25" s="21"/>
      <c r="G25" s="21"/>
      <c r="H25" s="20"/>
      <c r="I25" s="36"/>
      <c r="J25" s="300"/>
      <c r="K25" s="302"/>
      <c r="L25" s="302"/>
      <c r="M25" s="302"/>
      <c r="N25" s="242">
        <f t="shared" si="2"/>
        <v>0</v>
      </c>
      <c r="O25" s="555"/>
      <c r="P25" s="12"/>
      <c r="S25" s="300" t="str">
        <f t="shared" si="3"/>
        <v>Enter data here</v>
      </c>
      <c r="T25" s="300" t="str">
        <f t="shared" si="5"/>
        <v>Use column to left</v>
      </c>
      <c r="U25" s="35" t="s">
        <v>1044</v>
      </c>
      <c r="V25" s="357" t="str">
        <f t="shared" si="4"/>
        <v>Unfilled fields to left</v>
      </c>
      <c r="X25" s="25"/>
      <c r="Y25" s="12"/>
    </row>
    <row r="26" spans="2:29">
      <c r="B26" s="186" t="s">
        <v>1042</v>
      </c>
      <c r="C26" s="184" t="s">
        <v>1046</v>
      </c>
      <c r="D26" s="179" t="s">
        <v>459</v>
      </c>
      <c r="E26" s="35"/>
      <c r="F26" s="21"/>
      <c r="G26" s="21"/>
      <c r="H26" s="20"/>
      <c r="I26" s="36"/>
      <c r="J26" s="300"/>
      <c r="K26" s="302"/>
      <c r="L26" s="302"/>
      <c r="M26" s="302"/>
      <c r="N26" s="242">
        <f t="shared" si="2"/>
        <v>0</v>
      </c>
      <c r="O26" s="555"/>
      <c r="P26" s="19"/>
      <c r="Q26" s="19"/>
      <c r="R26" s="19"/>
      <c r="S26" s="300" t="str">
        <f t="shared" si="3"/>
        <v>Enter data here</v>
      </c>
      <c r="T26" s="300" t="str">
        <f t="shared" si="5"/>
        <v>Use column to left</v>
      </c>
      <c r="U26" s="35" t="s">
        <v>1044</v>
      </c>
      <c r="V26" s="357" t="str">
        <f t="shared" si="4"/>
        <v>Unfilled fields to left</v>
      </c>
      <c r="W26" s="19"/>
      <c r="X26" s="25"/>
      <c r="Y26" s="19"/>
      <c r="Z26" s="19"/>
      <c r="AA26" s="19"/>
      <c r="AB26" s="19"/>
      <c r="AC26" s="19"/>
    </row>
    <row r="27" spans="2:29">
      <c r="B27" s="16"/>
      <c r="C27" s="15"/>
      <c r="D27" s="179"/>
      <c r="E27" s="35"/>
      <c r="F27" s="21"/>
      <c r="G27" s="21"/>
      <c r="H27" s="20"/>
      <c r="I27" s="36"/>
      <c r="J27" s="300"/>
      <c r="K27" s="302"/>
      <c r="L27" s="302"/>
      <c r="M27" s="302"/>
      <c r="N27" s="242">
        <f t="shared" si="2"/>
        <v>0</v>
      </c>
      <c r="O27" s="555"/>
      <c r="P27" s="19"/>
      <c r="Q27" s="19"/>
      <c r="R27" s="19"/>
      <c r="S27" s="300" t="str">
        <f t="shared" si="3"/>
        <v/>
      </c>
      <c r="T27" s="300" t="str">
        <f t="shared" si="5"/>
        <v/>
      </c>
      <c r="U27" s="35"/>
      <c r="V27" s="357" t="str">
        <f t="shared" si="4"/>
        <v>Unfilled fields to left</v>
      </c>
      <c r="W27" s="19"/>
      <c r="X27" s="25"/>
      <c r="Y27" s="19"/>
      <c r="Z27" s="19"/>
      <c r="AA27" s="19"/>
      <c r="AB27" s="19"/>
      <c r="AC27" s="19"/>
    </row>
    <row r="28" spans="2:29">
      <c r="B28" s="16"/>
      <c r="C28" s="15"/>
      <c r="D28" s="179"/>
      <c r="E28" s="35"/>
      <c r="F28" s="21"/>
      <c r="G28" s="21"/>
      <c r="H28" s="20"/>
      <c r="I28" s="36"/>
      <c r="J28" s="300"/>
      <c r="K28" s="302"/>
      <c r="L28" s="302"/>
      <c r="M28" s="302"/>
      <c r="N28" s="242">
        <f t="shared" si="2"/>
        <v>0</v>
      </c>
      <c r="O28" s="555"/>
      <c r="P28" s="19"/>
      <c r="Q28" s="19"/>
      <c r="R28" s="19"/>
      <c r="S28" s="300" t="str">
        <f t="shared" si="3"/>
        <v/>
      </c>
      <c r="T28" s="300" t="str">
        <f t="shared" si="5"/>
        <v/>
      </c>
      <c r="U28" s="35"/>
      <c r="V28" s="357" t="str">
        <f t="shared" si="4"/>
        <v>Unfilled fields to left</v>
      </c>
      <c r="W28" s="19"/>
      <c r="X28" s="25"/>
      <c r="Y28" s="19"/>
      <c r="Z28" s="19"/>
      <c r="AA28" s="19"/>
      <c r="AB28" s="19"/>
      <c r="AC28" s="19"/>
    </row>
    <row r="29" spans="2:29">
      <c r="B29" s="16"/>
      <c r="C29" s="15"/>
      <c r="D29" s="179"/>
      <c r="E29" s="35"/>
      <c r="F29" s="21"/>
      <c r="G29" s="21"/>
      <c r="H29" s="20"/>
      <c r="I29" s="36"/>
      <c r="J29" s="300"/>
      <c r="K29" s="302"/>
      <c r="L29" s="302"/>
      <c r="M29" s="302"/>
      <c r="N29" s="242">
        <f t="shared" si="2"/>
        <v>0</v>
      </c>
      <c r="O29" s="555"/>
      <c r="P29" s="19"/>
      <c r="Q29" s="19"/>
      <c r="R29" s="19"/>
      <c r="S29" s="300" t="str">
        <f t="shared" si="3"/>
        <v/>
      </c>
      <c r="T29" s="300" t="str">
        <f t="shared" si="5"/>
        <v/>
      </c>
      <c r="U29" s="35"/>
      <c r="V29" s="357" t="str">
        <f t="shared" si="4"/>
        <v>Unfilled fields to left</v>
      </c>
      <c r="W29" s="19"/>
      <c r="X29" s="25"/>
      <c r="Y29" s="19"/>
      <c r="Z29" s="19"/>
      <c r="AA29" s="19"/>
      <c r="AB29" s="19"/>
      <c r="AC29" s="19"/>
    </row>
    <row r="30" spans="2:29">
      <c r="B30" s="16"/>
      <c r="C30" s="15"/>
      <c r="D30" s="179"/>
      <c r="E30" s="35"/>
      <c r="F30" s="21"/>
      <c r="G30" s="21"/>
      <c r="H30" s="20"/>
      <c r="I30" s="36"/>
      <c r="J30" s="300"/>
      <c r="K30" s="302"/>
      <c r="L30" s="302"/>
      <c r="M30" s="302"/>
      <c r="N30" s="242">
        <f t="shared" si="2"/>
        <v>0</v>
      </c>
      <c r="O30" s="555"/>
      <c r="P30" s="19"/>
      <c r="Q30" s="19"/>
      <c r="R30" s="19"/>
      <c r="S30" s="300" t="str">
        <f t="shared" si="3"/>
        <v/>
      </c>
      <c r="T30" s="300" t="str">
        <f t="shared" si="5"/>
        <v/>
      </c>
      <c r="U30" s="35"/>
      <c r="V30" s="357" t="str">
        <f t="shared" si="4"/>
        <v>Unfilled fields to left</v>
      </c>
      <c r="W30" s="19"/>
      <c r="X30" s="25"/>
      <c r="Y30" s="19"/>
      <c r="Z30" s="19"/>
      <c r="AA30" s="19"/>
      <c r="AB30" s="19"/>
      <c r="AC30" s="19"/>
    </row>
    <row r="31" spans="2:29">
      <c r="C31" s="69"/>
      <c r="D31" s="69"/>
      <c r="E31" s="504"/>
      <c r="F31" s="70"/>
      <c r="G31" s="70"/>
      <c r="H31" s="71"/>
      <c r="I31" s="72"/>
      <c r="J31" s="75"/>
      <c r="K31" s="73"/>
      <c r="L31" s="73"/>
      <c r="M31" s="73"/>
      <c r="N31" s="73"/>
      <c r="O31" s="73"/>
      <c r="P31" s="12"/>
      <c r="S31" s="75"/>
      <c r="T31" s="73"/>
      <c r="U31" s="73"/>
      <c r="V31" s="73"/>
      <c r="X31" s="74"/>
      <c r="Y31" s="12"/>
    </row>
    <row r="32" spans="2:29" ht="31">
      <c r="B32" s="80" t="str">
        <f>IF(AND(OR(GHG_WASTE_GASIFICATION!$D$10="Default",GHG_WASTE_GASIFICATION!$D$32="Default"),Master_Switch="On"),"Default data selected for the emissions category below, move to the next emissions category within this step","")</f>
        <v/>
      </c>
      <c r="C32" s="69"/>
      <c r="D32" s="69"/>
      <c r="E32" s="504"/>
      <c r="F32" s="70"/>
      <c r="G32" s="70"/>
      <c r="H32" s="71"/>
      <c r="I32" s="72"/>
      <c r="J32" s="75"/>
      <c r="K32" s="73"/>
      <c r="L32" s="73"/>
      <c r="M32" s="73"/>
      <c r="N32" s="73"/>
      <c r="O32" s="73"/>
      <c r="P32" s="12"/>
      <c r="S32" s="75"/>
      <c r="T32" s="73"/>
      <c r="U32" s="73"/>
      <c r="V32" s="360" t="s">
        <v>1037</v>
      </c>
      <c r="X32" s="74"/>
      <c r="Y32" s="12"/>
    </row>
    <row r="33" spans="2:26" ht="16.5">
      <c r="B33" s="145" t="s">
        <v>1127</v>
      </c>
      <c r="C33" s="154"/>
      <c r="D33" s="154"/>
      <c r="E33" s="505"/>
      <c r="F33" s="155"/>
      <c r="G33" s="155"/>
      <c r="H33" s="156"/>
      <c r="I33" s="157"/>
      <c r="J33" s="305"/>
      <c r="K33" s="476"/>
      <c r="L33" s="476"/>
      <c r="M33" s="476"/>
      <c r="N33" s="476"/>
      <c r="O33" s="476"/>
      <c r="P33" s="158"/>
      <c r="Q33" s="158"/>
      <c r="R33" s="158"/>
      <c r="S33" s="492" t="s">
        <v>1267</v>
      </c>
      <c r="T33" s="492" t="s">
        <v>1267</v>
      </c>
      <c r="U33" s="476"/>
      <c r="V33" s="153">
        <f>SUM(V34:V43)</f>
        <v>0</v>
      </c>
      <c r="W33" s="91"/>
      <c r="X33" s="74"/>
      <c r="Y33" s="12"/>
    </row>
    <row r="34" spans="2:26">
      <c r="B34" s="186" t="s">
        <v>1048</v>
      </c>
      <c r="C34" s="184" t="s">
        <v>1128</v>
      </c>
      <c r="D34" s="179" t="s">
        <v>459</v>
      </c>
      <c r="E34" s="35"/>
      <c r="F34" s="21"/>
      <c r="G34" s="21"/>
      <c r="H34" s="21"/>
      <c r="I34" s="21"/>
      <c r="J34" s="306"/>
      <c r="K34" s="306"/>
      <c r="L34" s="306"/>
      <c r="M34" s="306"/>
      <c r="N34" s="242">
        <f t="shared" ref="N34:N43" si="6">IF($D34="MWh/yr (LHV)",$E34,$J34*$E34*(1-$L34)/Conversion_kWh_to_MJ)</f>
        <v>0</v>
      </c>
      <c r="O34" s="555"/>
      <c r="P34" s="12"/>
      <c r="S34" s="300" t="str">
        <f t="shared" ref="S34:S43" si="7">IF(B34="", "", IF(D34="MWh/yr (LHV)", "Use column to right", "Enter data here"))</f>
        <v>Enter data here</v>
      </c>
      <c r="T34" s="300" t="str">
        <f t="shared" ref="T34:T43" si="8">IF(B34="", "", IF(D34="MWh/yr (LHV)", "Enter data here", "Use column to left"))</f>
        <v>Use column to left</v>
      </c>
      <c r="U34" s="35" t="s">
        <v>1050</v>
      </c>
      <c r="V34" s="242" t="str">
        <f t="shared" ref="V34:V43" si="9">IFERROR(IF(D34="tonnes/yr", $S34*$E34/($N$9*3.6), $T34*$E34*3.6/($N$9*3.6)), "Unfilled fields to left")</f>
        <v>Unfilled fields to left</v>
      </c>
      <c r="X34" s="21"/>
      <c r="Y34" s="12"/>
    </row>
    <row r="35" spans="2:26">
      <c r="B35" s="186" t="s">
        <v>1051</v>
      </c>
      <c r="C35" s="184" t="s">
        <v>1224</v>
      </c>
      <c r="D35" s="179" t="s">
        <v>459</v>
      </c>
      <c r="E35" s="35"/>
      <c r="F35" s="24"/>
      <c r="G35" s="21"/>
      <c r="H35" s="20"/>
      <c r="I35" s="36"/>
      <c r="J35" s="300"/>
      <c r="K35" s="302"/>
      <c r="L35" s="302"/>
      <c r="M35" s="302"/>
      <c r="N35" s="242">
        <f t="shared" si="6"/>
        <v>0</v>
      </c>
      <c r="O35" s="555"/>
      <c r="P35" s="12"/>
      <c r="S35" s="300" t="str">
        <f t="shared" si="7"/>
        <v>Enter data here</v>
      </c>
      <c r="T35" s="300" t="str">
        <f t="shared" si="8"/>
        <v>Use column to left</v>
      </c>
      <c r="U35" s="35" t="s">
        <v>1050</v>
      </c>
      <c r="V35" s="242" t="str">
        <f t="shared" si="9"/>
        <v>Unfilled fields to left</v>
      </c>
      <c r="X35" s="25"/>
      <c r="Y35" s="12"/>
    </row>
    <row r="36" spans="2:26">
      <c r="B36" s="186" t="s">
        <v>1051</v>
      </c>
      <c r="C36" s="184" t="s">
        <v>1010</v>
      </c>
      <c r="D36" s="179" t="s">
        <v>459</v>
      </c>
      <c r="E36" s="35"/>
      <c r="F36" s="24"/>
      <c r="G36" s="21"/>
      <c r="H36" s="20"/>
      <c r="I36" s="36"/>
      <c r="J36" s="300"/>
      <c r="K36" s="302"/>
      <c r="L36" s="302"/>
      <c r="M36" s="302"/>
      <c r="N36" s="242">
        <f t="shared" si="6"/>
        <v>0</v>
      </c>
      <c r="O36" s="555"/>
      <c r="P36" s="12"/>
      <c r="S36" s="300" t="str">
        <f t="shared" si="7"/>
        <v>Enter data here</v>
      </c>
      <c r="T36" s="300" t="str">
        <f t="shared" si="8"/>
        <v>Use column to left</v>
      </c>
      <c r="U36" s="35" t="s">
        <v>1050</v>
      </c>
      <c r="V36" s="242" t="str">
        <f t="shared" si="9"/>
        <v>Unfilled fields to left</v>
      </c>
      <c r="X36" s="25"/>
      <c r="Y36" s="12"/>
    </row>
    <row r="37" spans="2:26">
      <c r="B37" s="186" t="s">
        <v>1051</v>
      </c>
      <c r="C37" s="184" t="s">
        <v>1053</v>
      </c>
      <c r="D37" s="179" t="s">
        <v>459</v>
      </c>
      <c r="E37" s="35"/>
      <c r="F37" s="24"/>
      <c r="G37" s="21"/>
      <c r="H37" s="20"/>
      <c r="I37" s="36"/>
      <c r="J37" s="300"/>
      <c r="K37" s="302"/>
      <c r="L37" s="302"/>
      <c r="M37" s="302"/>
      <c r="N37" s="242">
        <f t="shared" si="6"/>
        <v>0</v>
      </c>
      <c r="O37" s="555"/>
      <c r="P37" s="12"/>
      <c r="S37" s="300" t="str">
        <f t="shared" si="7"/>
        <v>Enter data here</v>
      </c>
      <c r="T37" s="300" t="str">
        <f t="shared" si="8"/>
        <v>Use column to left</v>
      </c>
      <c r="U37" s="35" t="s">
        <v>1050</v>
      </c>
      <c r="V37" s="242" t="str">
        <f t="shared" si="9"/>
        <v>Unfilled fields to left</v>
      </c>
      <c r="X37" s="25"/>
      <c r="Y37" s="12"/>
    </row>
    <row r="38" spans="2:26">
      <c r="B38" s="186" t="s">
        <v>1054</v>
      </c>
      <c r="C38" s="184" t="s">
        <v>1055</v>
      </c>
      <c r="D38" s="179" t="s">
        <v>459</v>
      </c>
      <c r="E38" s="35"/>
      <c r="F38" s="21"/>
      <c r="G38" s="21"/>
      <c r="H38" s="20"/>
      <c r="I38" s="36"/>
      <c r="J38" s="300"/>
      <c r="K38" s="302"/>
      <c r="L38" s="302"/>
      <c r="M38" s="302"/>
      <c r="N38" s="242">
        <f t="shared" si="6"/>
        <v>0</v>
      </c>
      <c r="O38" s="555"/>
      <c r="P38" s="12"/>
      <c r="S38" s="300" t="str">
        <f t="shared" si="7"/>
        <v>Enter data here</v>
      </c>
      <c r="T38" s="300" t="str">
        <f t="shared" si="8"/>
        <v>Use column to left</v>
      </c>
      <c r="U38" s="35" t="s">
        <v>1050</v>
      </c>
      <c r="V38" s="242" t="str">
        <f t="shared" si="9"/>
        <v>Unfilled fields to left</v>
      </c>
      <c r="X38" s="25"/>
      <c r="Y38" s="12"/>
    </row>
    <row r="39" spans="2:26">
      <c r="B39" s="186" t="s">
        <v>1054</v>
      </c>
      <c r="C39" s="184" t="s">
        <v>1055</v>
      </c>
      <c r="D39" s="179" t="s">
        <v>459</v>
      </c>
      <c r="E39" s="35"/>
      <c r="F39" s="21"/>
      <c r="G39" s="21"/>
      <c r="H39" s="20"/>
      <c r="I39" s="36"/>
      <c r="J39" s="300"/>
      <c r="K39" s="302"/>
      <c r="L39" s="302"/>
      <c r="M39" s="302"/>
      <c r="N39" s="242">
        <f t="shared" si="6"/>
        <v>0</v>
      </c>
      <c r="O39" s="555"/>
      <c r="P39" s="12"/>
      <c r="S39" s="300" t="str">
        <f t="shared" si="7"/>
        <v>Enter data here</v>
      </c>
      <c r="T39" s="300" t="str">
        <f t="shared" si="8"/>
        <v>Use column to left</v>
      </c>
      <c r="U39" s="35" t="s">
        <v>1050</v>
      </c>
      <c r="V39" s="242" t="str">
        <f t="shared" si="9"/>
        <v>Unfilled fields to left</v>
      </c>
      <c r="X39" s="25"/>
      <c r="Y39" s="12"/>
    </row>
    <row r="40" spans="2:26">
      <c r="B40" s="16"/>
      <c r="C40" s="15"/>
      <c r="D40" s="179"/>
      <c r="E40" s="35"/>
      <c r="F40" s="54"/>
      <c r="G40" s="21"/>
      <c r="H40" s="20"/>
      <c r="I40" s="36"/>
      <c r="J40" s="300"/>
      <c r="K40" s="302"/>
      <c r="L40" s="302"/>
      <c r="M40" s="302"/>
      <c r="N40" s="242">
        <f t="shared" si="6"/>
        <v>0</v>
      </c>
      <c r="O40" s="555"/>
      <c r="P40" s="12"/>
      <c r="S40" s="300" t="str">
        <f t="shared" si="7"/>
        <v/>
      </c>
      <c r="T40" s="300" t="str">
        <f t="shared" si="8"/>
        <v/>
      </c>
      <c r="U40" s="300"/>
      <c r="V40" s="242" t="str">
        <f t="shared" si="9"/>
        <v>Unfilled fields to left</v>
      </c>
      <c r="X40" s="25"/>
      <c r="Y40" s="12"/>
    </row>
    <row r="41" spans="2:26">
      <c r="B41" s="16"/>
      <c r="C41" s="15"/>
      <c r="D41" s="179"/>
      <c r="E41" s="35"/>
      <c r="F41" s="54"/>
      <c r="G41" s="21"/>
      <c r="H41" s="20"/>
      <c r="I41" s="36"/>
      <c r="J41" s="300"/>
      <c r="K41" s="302"/>
      <c r="L41" s="302"/>
      <c r="M41" s="302"/>
      <c r="N41" s="242">
        <f t="shared" si="6"/>
        <v>0</v>
      </c>
      <c r="O41" s="555"/>
      <c r="P41" s="12"/>
      <c r="S41" s="300" t="str">
        <f t="shared" si="7"/>
        <v/>
      </c>
      <c r="T41" s="300" t="str">
        <f t="shared" si="8"/>
        <v/>
      </c>
      <c r="U41" s="300"/>
      <c r="V41" s="242" t="str">
        <f t="shared" si="9"/>
        <v>Unfilled fields to left</v>
      </c>
      <c r="X41" s="25"/>
      <c r="Y41" s="12"/>
    </row>
    <row r="42" spans="2:26">
      <c r="B42" s="16"/>
      <c r="C42" s="15"/>
      <c r="D42" s="179"/>
      <c r="E42" s="35"/>
      <c r="F42" s="54"/>
      <c r="G42" s="21"/>
      <c r="H42" s="20"/>
      <c r="I42" s="36"/>
      <c r="J42" s="300"/>
      <c r="K42" s="302"/>
      <c r="L42" s="302"/>
      <c r="M42" s="302"/>
      <c r="N42" s="242">
        <f t="shared" si="6"/>
        <v>0</v>
      </c>
      <c r="O42" s="555"/>
      <c r="P42" s="12"/>
      <c r="S42" s="300" t="str">
        <f t="shared" si="7"/>
        <v/>
      </c>
      <c r="T42" s="300" t="str">
        <f t="shared" si="8"/>
        <v/>
      </c>
      <c r="U42" s="300"/>
      <c r="V42" s="242" t="str">
        <f t="shared" si="9"/>
        <v>Unfilled fields to left</v>
      </c>
      <c r="X42" s="25"/>
      <c r="Y42" s="12"/>
    </row>
    <row r="43" spans="2:26">
      <c r="B43" s="16"/>
      <c r="C43" s="15"/>
      <c r="D43" s="179"/>
      <c r="E43" s="35"/>
      <c r="F43" s="21"/>
      <c r="G43" s="21"/>
      <c r="H43" s="20"/>
      <c r="I43" s="36"/>
      <c r="J43" s="300"/>
      <c r="K43" s="302"/>
      <c r="L43" s="302"/>
      <c r="M43" s="302"/>
      <c r="N43" s="242">
        <f t="shared" si="6"/>
        <v>0</v>
      </c>
      <c r="O43" s="555"/>
      <c r="P43" s="12"/>
      <c r="S43" s="300" t="str">
        <f t="shared" si="7"/>
        <v/>
      </c>
      <c r="T43" s="300" t="str">
        <f t="shared" si="8"/>
        <v/>
      </c>
      <c r="U43" s="300"/>
      <c r="V43" s="242" t="str">
        <f t="shared" si="9"/>
        <v>Unfilled fields to left</v>
      </c>
      <c r="X43" s="25"/>
      <c r="Y43" s="12"/>
    </row>
    <row r="44" spans="2:26">
      <c r="C44" s="83"/>
      <c r="D44" s="83"/>
      <c r="E44" s="498"/>
      <c r="F44" s="84"/>
      <c r="G44" s="85"/>
      <c r="H44" s="86"/>
      <c r="I44" s="86"/>
      <c r="J44" s="87"/>
      <c r="K44" s="87"/>
      <c r="L44" s="87"/>
      <c r="M44" s="87"/>
      <c r="N44" s="87"/>
      <c r="O44" s="87"/>
      <c r="P44" s="28"/>
      <c r="Q44" s="14"/>
      <c r="R44" s="14"/>
      <c r="S44" s="87"/>
      <c r="T44" s="87"/>
      <c r="U44" s="87"/>
      <c r="V44" s="87"/>
      <c r="X44" s="27"/>
      <c r="Y44" s="12"/>
    </row>
    <row r="45" spans="2:26">
      <c r="B45" s="14"/>
      <c r="C45" s="83"/>
      <c r="D45" s="83"/>
      <c r="E45" s="498"/>
      <c r="F45" s="84"/>
      <c r="G45" s="85"/>
      <c r="H45" s="86"/>
      <c r="I45" s="86"/>
      <c r="J45" s="87"/>
      <c r="K45" s="87"/>
      <c r="L45" s="87"/>
      <c r="M45" s="87"/>
      <c r="N45" s="87"/>
      <c r="O45" s="87"/>
      <c r="P45" s="28"/>
      <c r="Q45" s="14"/>
      <c r="R45" s="14"/>
      <c r="S45" s="87"/>
      <c r="T45" s="87"/>
      <c r="U45" s="87"/>
      <c r="V45" s="525" t="s">
        <v>1251</v>
      </c>
      <c r="X45" s="27"/>
      <c r="Y45" s="12"/>
    </row>
    <row r="46" spans="2:26" s="14" customFormat="1" ht="13.5" customHeight="1">
      <c r="B46" s="145" t="s">
        <v>1268</v>
      </c>
      <c r="C46" s="159"/>
      <c r="D46" s="159"/>
      <c r="E46" s="499"/>
      <c r="F46" s="160"/>
      <c r="G46" s="161"/>
      <c r="H46" s="160"/>
      <c r="I46" s="160"/>
      <c r="J46" s="307"/>
      <c r="K46" s="307"/>
      <c r="L46" s="307"/>
      <c r="M46" s="307"/>
      <c r="N46" s="307"/>
      <c r="O46" s="307"/>
      <c r="P46" s="162"/>
      <c r="Q46" s="163"/>
      <c r="R46" s="152"/>
      <c r="S46" s="307" t="s">
        <v>1269</v>
      </c>
      <c r="T46" s="307"/>
      <c r="U46" s="307"/>
      <c r="V46" s="153">
        <f>SUM(V47:V49)</f>
        <v>0</v>
      </c>
      <c r="W46" s="19"/>
      <c r="X46" s="70"/>
      <c r="Z46" s="19"/>
    </row>
    <row r="47" spans="2:26" s="14" customFormat="1">
      <c r="B47" s="186" t="s">
        <v>1057</v>
      </c>
      <c r="C47" s="184" t="s">
        <v>1270</v>
      </c>
      <c r="D47" s="179" t="s">
        <v>459</v>
      </c>
      <c r="E47" s="35"/>
      <c r="F47" s="24"/>
      <c r="G47" s="21"/>
      <c r="H47" s="21"/>
      <c r="I47" s="21"/>
      <c r="J47" s="306"/>
      <c r="K47" s="306"/>
      <c r="L47" s="306"/>
      <c r="M47" s="306"/>
      <c r="N47" s="44">
        <f>IF($D47="MWh/yr (LHV)",$E47,$J47*$E47*(1-$L47)/Conversion_kWh_to_MJ)</f>
        <v>0</v>
      </c>
      <c r="O47" s="73"/>
      <c r="P47" s="12"/>
      <c r="Q47" s="12"/>
      <c r="R47" s="12"/>
      <c r="S47" s="300">
        <v>0</v>
      </c>
      <c r="T47" s="477"/>
      <c r="U47" s="35" t="s">
        <v>1200</v>
      </c>
      <c r="V47" s="44" t="str">
        <f>IFERROR(IF(D47="tonnes/yr", $S47*$E47/($N$9*3.6*$E$106), $T47*$E47*3.6/($N$9*3.6*$E$106)), "Unfilled fields to left")</f>
        <v>Unfilled fields to left</v>
      </c>
      <c r="W47" s="19"/>
      <c r="X47" s="21"/>
      <c r="Z47" s="19"/>
    </row>
    <row r="48" spans="2:26" s="14" customFormat="1">
      <c r="B48" s="16"/>
      <c r="C48" s="15"/>
      <c r="D48" s="179"/>
      <c r="E48" s="35"/>
      <c r="F48" s="63"/>
      <c r="G48" s="63"/>
      <c r="H48" s="63"/>
      <c r="I48" s="63"/>
      <c r="J48" s="304"/>
      <c r="K48" s="306"/>
      <c r="L48" s="306"/>
      <c r="M48" s="306"/>
      <c r="N48" s="44">
        <f>IF($D48="MWh/yr (LHV)",$E48,$J48*$E48*(1-$L48)/Conversion_kWh_to_MJ)</f>
        <v>0</v>
      </c>
      <c r="O48" s="73"/>
      <c r="P48" s="12"/>
      <c r="Q48" s="12"/>
      <c r="R48" s="12"/>
      <c r="S48" s="302"/>
      <c r="T48" s="477"/>
      <c r="U48" s="302"/>
      <c r="V48" s="44" t="str">
        <f>IFERROR(IF(D48="tonnes/yr", $S48*$E48/($N$9*3.6*$E$106), $T48*$E48*3.6/($N$9*3.6*$E$106)), "Unfilled fields to left")</f>
        <v>Unfilled fields to left</v>
      </c>
      <c r="W48" s="19"/>
      <c r="X48" s="21"/>
      <c r="Z48" s="19"/>
    </row>
    <row r="49" spans="2:26" s="14" customFormat="1">
      <c r="B49" s="64"/>
      <c r="C49" s="15"/>
      <c r="D49" s="179"/>
      <c r="E49" s="35"/>
      <c r="F49" s="21"/>
      <c r="G49" s="21"/>
      <c r="H49" s="21"/>
      <c r="I49" s="21"/>
      <c r="J49" s="21"/>
      <c r="K49" s="306"/>
      <c r="L49" s="306"/>
      <c r="M49" s="306"/>
      <c r="N49" s="44">
        <f>IF($D49="MWh/yr (LHV)",$E49,$J49*$E49*(1-$L49)/Conversion_kWh_to_MJ)</f>
        <v>0</v>
      </c>
      <c r="O49" s="73"/>
      <c r="P49" s="19"/>
      <c r="Q49" s="19"/>
      <c r="R49" s="19"/>
      <c r="S49" s="302"/>
      <c r="T49" s="477"/>
      <c r="U49" s="302"/>
      <c r="V49" s="44" t="str">
        <f>IFERROR(IF(D49="tonnes/yr", $S49*$E49/($N$9*3.6*$E$106), $T49*$E49*3.6/($N$9*3.6*$E$106)), "Unfilled fields to left")</f>
        <v>Unfilled fields to left</v>
      </c>
      <c r="W49" s="19"/>
      <c r="X49" s="65"/>
      <c r="Z49" s="19"/>
    </row>
    <row r="50" spans="2:26" s="14" customFormat="1">
      <c r="B50" s="68"/>
      <c r="C50" s="69"/>
      <c r="D50" s="69"/>
      <c r="E50" s="504"/>
      <c r="F50" s="70"/>
      <c r="G50" s="70"/>
      <c r="H50" s="70"/>
      <c r="I50" s="70"/>
      <c r="J50" s="142"/>
      <c r="K50" s="142"/>
      <c r="L50" s="142"/>
      <c r="M50" s="142"/>
      <c r="N50" s="73"/>
      <c r="O50" s="73"/>
      <c r="P50" s="19"/>
      <c r="Q50" s="19"/>
      <c r="R50" s="19"/>
      <c r="S50" s="73"/>
      <c r="T50" s="73"/>
      <c r="U50" s="73"/>
      <c r="V50" s="87"/>
      <c r="W50" s="19"/>
      <c r="X50" s="70"/>
      <c r="Z50" s="19"/>
    </row>
    <row r="51" spans="2:26">
      <c r="B51" s="14"/>
      <c r="C51" s="83"/>
      <c r="D51" s="83"/>
      <c r="E51" s="498"/>
      <c r="F51" s="84"/>
      <c r="G51" s="85"/>
      <c r="H51" s="86"/>
      <c r="I51" s="86"/>
      <c r="J51" s="87"/>
      <c r="K51" s="87"/>
      <c r="L51" s="87"/>
      <c r="M51" s="87"/>
      <c r="N51" s="87"/>
      <c r="O51" s="87"/>
      <c r="P51" s="28"/>
      <c r="Q51" s="14"/>
      <c r="R51" s="14"/>
      <c r="S51" s="87"/>
      <c r="T51" s="87"/>
      <c r="U51" s="87"/>
      <c r="V51" s="525" t="s">
        <v>1255</v>
      </c>
      <c r="X51" s="27"/>
      <c r="Y51" s="12"/>
    </row>
    <row r="52" spans="2:26" s="14" customFormat="1" ht="13.5" customHeight="1">
      <c r="B52" s="145" t="s">
        <v>1271</v>
      </c>
      <c r="C52" s="159"/>
      <c r="D52" s="159"/>
      <c r="E52" s="499"/>
      <c r="F52" s="160"/>
      <c r="G52" s="161"/>
      <c r="H52" s="160"/>
      <c r="I52" s="160"/>
      <c r="J52" s="307"/>
      <c r="K52" s="307"/>
      <c r="L52" s="307"/>
      <c r="M52" s="307"/>
      <c r="N52" s="307"/>
      <c r="O52" s="307"/>
      <c r="P52" s="162"/>
      <c r="Q52" s="163"/>
      <c r="R52" s="152"/>
      <c r="S52" s="307" t="s">
        <v>1269</v>
      </c>
      <c r="T52" s="307"/>
      <c r="U52" s="307"/>
      <c r="V52" s="153">
        <f>SUM(V53:V55)</f>
        <v>0</v>
      </c>
      <c r="W52" s="113"/>
      <c r="X52" s="70"/>
      <c r="Z52" s="19"/>
    </row>
    <row r="53" spans="2:26" s="14" customFormat="1">
      <c r="B53" s="186" t="s">
        <v>1057</v>
      </c>
      <c r="C53" s="184" t="s">
        <v>1272</v>
      </c>
      <c r="D53" s="179" t="s">
        <v>459</v>
      </c>
      <c r="E53" s="35"/>
      <c r="F53" s="24"/>
      <c r="G53" s="21"/>
      <c r="H53" s="21"/>
      <c r="I53" s="21"/>
      <c r="J53" s="306"/>
      <c r="K53" s="306"/>
      <c r="L53" s="306"/>
      <c r="M53" s="306"/>
      <c r="N53" s="44">
        <f>IF($D53="MWh/yr (LHV)",$E53,$J53*$E53*(1-$L53)/Conversion_kWh_to_MJ)</f>
        <v>0</v>
      </c>
      <c r="O53" s="73"/>
      <c r="P53" s="12"/>
      <c r="Q53" s="12"/>
      <c r="R53" s="12"/>
      <c r="S53" s="528">
        <v>1000</v>
      </c>
      <c r="T53" s="477"/>
      <c r="U53" s="530" t="s">
        <v>1257</v>
      </c>
      <c r="V53" s="44" t="str">
        <f>IFERROR(IF(D53="tonnes/yr", $S53*$E53/($N$9*3.6*$E$107), $T53*$E53*3.6/($N$9*3.6*$E$107)), "Unfilled fields to left")</f>
        <v>Unfilled fields to left</v>
      </c>
      <c r="W53" s="19"/>
      <c r="X53" s="21"/>
      <c r="Z53" s="19"/>
    </row>
    <row r="54" spans="2:26" s="14" customFormat="1">
      <c r="B54" s="16"/>
      <c r="C54" s="15"/>
      <c r="D54" s="179"/>
      <c r="E54" s="35"/>
      <c r="F54" s="63"/>
      <c r="G54" s="63"/>
      <c r="H54" s="63"/>
      <c r="I54" s="63"/>
      <c r="J54" s="304"/>
      <c r="K54" s="306"/>
      <c r="L54" s="306"/>
      <c r="M54" s="306"/>
      <c r="N54" s="44">
        <f>IF($D54="MWh/yr (LHV)",$E54,$J54*$E54*(1-$L54)/Conversion_kWh_to_MJ)</f>
        <v>0</v>
      </c>
      <c r="O54" s="73"/>
      <c r="P54" s="12"/>
      <c r="Q54" s="12"/>
      <c r="R54" s="12"/>
      <c r="S54" s="529"/>
      <c r="T54" s="477"/>
      <c r="U54" s="531"/>
      <c r="V54" s="44" t="str">
        <f>IFERROR(IF(D54="tonnes/yr", $S54*$E54/($N$9*3.6*$E$107), $T54*$E54*3.6/($N$9*3.6*$E$107)), "Unfilled fields to left")</f>
        <v>Unfilled fields to left</v>
      </c>
      <c r="W54" s="19"/>
      <c r="X54" s="21"/>
      <c r="Z54" s="19"/>
    </row>
    <row r="55" spans="2:26" s="14" customFormat="1">
      <c r="B55" s="64"/>
      <c r="C55" s="15"/>
      <c r="D55" s="179"/>
      <c r="E55" s="35"/>
      <c r="F55" s="21"/>
      <c r="G55" s="21"/>
      <c r="H55" s="21"/>
      <c r="I55" s="21"/>
      <c r="J55" s="21"/>
      <c r="K55" s="306"/>
      <c r="L55" s="306"/>
      <c r="M55" s="306"/>
      <c r="N55" s="44">
        <f>IF($D55="MWh/yr (LHV)",$E55,$J55*$E55*(1-$L55)/Conversion_kWh_to_MJ)</f>
        <v>0</v>
      </c>
      <c r="O55" s="73"/>
      <c r="P55" s="19"/>
      <c r="Q55" s="19"/>
      <c r="R55" s="19"/>
      <c r="S55" s="529"/>
      <c r="T55" s="477"/>
      <c r="U55" s="531"/>
      <c r="V55" s="44" t="str">
        <f>IFERROR(IF(D55="tonnes/yr", $S55*$E55/($N$9*3.6*$E$107), $T55*$E55*3.6/($N$9*3.6*$E$107)), "Unfilled fields to left")</f>
        <v>Unfilled fields to left</v>
      </c>
      <c r="W55" s="19"/>
      <c r="X55" s="65"/>
      <c r="Z55" s="19"/>
    </row>
    <row r="56" spans="2:26">
      <c r="B56" s="14"/>
      <c r="C56" s="83"/>
      <c r="D56" s="83"/>
      <c r="E56" s="498"/>
      <c r="F56" s="84"/>
      <c r="G56" s="85"/>
      <c r="H56" s="86"/>
      <c r="I56" s="86"/>
      <c r="J56" s="87"/>
      <c r="K56" s="87"/>
      <c r="L56" s="87"/>
      <c r="M56" s="87"/>
      <c r="N56" s="87"/>
      <c r="O56" s="87"/>
      <c r="P56" s="28"/>
      <c r="Q56" s="14"/>
      <c r="R56" s="14"/>
      <c r="S56" s="87"/>
      <c r="T56" s="87"/>
      <c r="U56" s="87"/>
      <c r="V56" s="12"/>
      <c r="X56" s="27"/>
      <c r="Y56" s="12"/>
    </row>
    <row r="57" spans="2:26">
      <c r="B57" s="14"/>
      <c r="C57" s="83"/>
      <c r="D57" s="83"/>
      <c r="E57" s="498"/>
      <c r="F57" s="84"/>
      <c r="G57" s="85"/>
      <c r="H57" s="86"/>
      <c r="I57" s="86"/>
      <c r="J57" s="87"/>
      <c r="K57" s="87"/>
      <c r="L57" s="87"/>
      <c r="M57" s="87"/>
      <c r="N57" s="87"/>
      <c r="O57" s="87"/>
      <c r="P57" s="28"/>
      <c r="Q57" s="14"/>
      <c r="R57" s="14"/>
      <c r="S57" s="87"/>
      <c r="T57" s="87"/>
      <c r="U57" s="87"/>
      <c r="V57" s="360" t="s">
        <v>1037</v>
      </c>
      <c r="X57" s="27"/>
      <c r="Y57" s="12"/>
    </row>
    <row r="58" spans="2:26" s="14" customFormat="1" ht="13.5" customHeight="1">
      <c r="B58" s="145" t="s">
        <v>1273</v>
      </c>
      <c r="C58" s="159"/>
      <c r="D58" s="159"/>
      <c r="E58" s="499"/>
      <c r="F58" s="160"/>
      <c r="G58" s="161"/>
      <c r="H58" s="160"/>
      <c r="I58" s="160"/>
      <c r="J58" s="307"/>
      <c r="K58" s="307"/>
      <c r="L58" s="307"/>
      <c r="M58" s="307"/>
      <c r="N58" s="307"/>
      <c r="O58" s="307"/>
      <c r="P58" s="162"/>
      <c r="Q58" s="163"/>
      <c r="R58" s="152"/>
      <c r="S58" s="307" t="s">
        <v>1269</v>
      </c>
      <c r="T58" s="307"/>
      <c r="U58" s="307"/>
      <c r="V58" s="153">
        <f>SUM(V59:V61)</f>
        <v>0</v>
      </c>
      <c r="W58" s="113"/>
      <c r="X58" s="70"/>
      <c r="Z58" s="19"/>
    </row>
    <row r="59" spans="2:26" s="14" customFormat="1">
      <c r="B59" s="186" t="s">
        <v>1057</v>
      </c>
      <c r="C59" s="184" t="s">
        <v>1274</v>
      </c>
      <c r="D59" s="179" t="s">
        <v>459</v>
      </c>
      <c r="E59" s="35"/>
      <c r="F59" s="24"/>
      <c r="G59" s="21"/>
      <c r="H59" s="21"/>
      <c r="I59" s="21"/>
      <c r="J59" s="306"/>
      <c r="K59" s="306"/>
      <c r="L59" s="306"/>
      <c r="M59" s="306"/>
      <c r="N59" s="44">
        <f>IF($D59="MWh/yr (LHV)",$E59,$J59*$E59*(1-$L59)/Conversion_kWh_to_MJ)</f>
        <v>0</v>
      </c>
      <c r="O59" s="73"/>
      <c r="P59" s="12"/>
      <c r="Q59" s="12"/>
      <c r="R59" s="12"/>
      <c r="S59" s="528">
        <v>0</v>
      </c>
      <c r="T59" s="477"/>
      <c r="U59" s="530" t="s">
        <v>1200</v>
      </c>
      <c r="V59" s="44" t="str">
        <f>IFERROR(IF(D59="tonnes/yr", $S59*$E59/($N$9*3.6), $T59*$E59*3.6/($N$9*3.6)), "Unfilled fields to left")</f>
        <v>Unfilled fields to left</v>
      </c>
      <c r="W59" s="19"/>
      <c r="X59" s="21"/>
      <c r="Z59" s="19"/>
    </row>
    <row r="60" spans="2:26" s="14" customFormat="1">
      <c r="B60" s="186" t="s">
        <v>1057</v>
      </c>
      <c r="C60" s="184" t="s">
        <v>1211</v>
      </c>
      <c r="D60" s="179" t="s">
        <v>459</v>
      </c>
      <c r="E60" s="35"/>
      <c r="F60" s="63"/>
      <c r="G60" s="63"/>
      <c r="H60" s="63"/>
      <c r="I60" s="63"/>
      <c r="J60" s="304"/>
      <c r="K60" s="306"/>
      <c r="L60" s="306"/>
      <c r="M60" s="306"/>
      <c r="N60" s="44">
        <f>IF($D60="MWh/yr (LHV)",$E60,$J60*$E60*(1-$L60)/Conversion_kWh_to_MJ)</f>
        <v>0</v>
      </c>
      <c r="O60" s="73"/>
      <c r="P60" s="12"/>
      <c r="Q60" s="12"/>
      <c r="R60" s="12"/>
      <c r="S60" s="528">
        <v>1000</v>
      </c>
      <c r="T60" s="477"/>
      <c r="U60" s="530" t="s">
        <v>1110</v>
      </c>
      <c r="V60" s="44" t="str">
        <f>IFERROR(IF(D60="tonnes/yr", $S60*$E60/($N$9*3.6), $T60*$E60*3.6/($N$9*3.6)), "Unfilled fields to left")</f>
        <v>Unfilled fields to left</v>
      </c>
      <c r="W60" s="19"/>
      <c r="X60" s="21"/>
      <c r="Z60" s="19"/>
    </row>
    <row r="61" spans="2:26" s="14" customFormat="1">
      <c r="B61" s="64"/>
      <c r="C61" s="15"/>
      <c r="D61" s="179"/>
      <c r="E61" s="35"/>
      <c r="F61" s="21"/>
      <c r="G61" s="21"/>
      <c r="H61" s="21"/>
      <c r="I61" s="21"/>
      <c r="J61" s="21"/>
      <c r="K61" s="306"/>
      <c r="L61" s="306"/>
      <c r="M61" s="306"/>
      <c r="N61" s="44">
        <f>IF($D61="MWh/yr (LHV)",$E61,$J61*$E61*(1-$L61)/Conversion_kWh_to_MJ)</f>
        <v>0</v>
      </c>
      <c r="O61" s="73"/>
      <c r="P61" s="19"/>
      <c r="Q61" s="19"/>
      <c r="R61" s="19"/>
      <c r="S61" s="529"/>
      <c r="T61" s="477"/>
      <c r="U61" s="531"/>
      <c r="V61" s="44" t="str">
        <f>IFERROR(IF(D61="tonnes/yr", $S61*$E61/($N$9*3.6), $T61*$E61*3.6/($N$9*3.6)), "Unfilled fields to left")</f>
        <v>Unfilled fields to left</v>
      </c>
      <c r="W61" s="19"/>
      <c r="X61" s="65"/>
      <c r="Z61" s="19"/>
    </row>
    <row r="62" spans="2:26">
      <c r="B62" s="14"/>
      <c r="C62" s="83"/>
      <c r="D62" s="83"/>
      <c r="E62" s="498"/>
      <c r="F62" s="84"/>
      <c r="G62" s="85"/>
      <c r="H62" s="86"/>
      <c r="I62" s="86"/>
      <c r="J62" s="87"/>
      <c r="K62" s="87"/>
      <c r="L62" s="87"/>
      <c r="M62" s="87"/>
      <c r="N62" s="87"/>
      <c r="O62" s="87"/>
      <c r="P62" s="28"/>
      <c r="Q62" s="14"/>
      <c r="R62" s="14"/>
      <c r="S62" s="87"/>
      <c r="T62" s="87"/>
      <c r="U62" s="87"/>
      <c r="V62" s="12"/>
      <c r="X62" s="27"/>
      <c r="Y62" s="12"/>
    </row>
    <row r="63" spans="2:26" s="14" customFormat="1">
      <c r="B63" s="68"/>
      <c r="C63" s="69"/>
      <c r="D63" s="69"/>
      <c r="E63" s="504"/>
      <c r="F63" s="70"/>
      <c r="G63" s="70"/>
      <c r="H63" s="70"/>
      <c r="I63" s="70"/>
      <c r="J63" s="142"/>
      <c r="K63" s="142"/>
      <c r="L63" s="142"/>
      <c r="M63" s="142"/>
      <c r="N63" s="73"/>
      <c r="O63" s="73"/>
      <c r="P63" s="19"/>
      <c r="Q63" s="19"/>
      <c r="R63" s="19"/>
      <c r="S63" s="73"/>
      <c r="T63" s="73"/>
      <c r="U63" s="73"/>
      <c r="V63" s="360" t="s">
        <v>1037</v>
      </c>
      <c r="W63" s="19"/>
      <c r="X63" s="70"/>
      <c r="Z63" s="19"/>
    </row>
    <row r="64" spans="2:26" ht="16.5">
      <c r="B64" s="145" t="s">
        <v>1060</v>
      </c>
      <c r="C64" s="154"/>
      <c r="D64" s="154"/>
      <c r="E64" s="505"/>
      <c r="F64" s="155"/>
      <c r="G64" s="155"/>
      <c r="H64" s="156"/>
      <c r="I64" s="157"/>
      <c r="J64" s="305"/>
      <c r="K64" s="476"/>
      <c r="L64" s="476"/>
      <c r="M64" s="476"/>
      <c r="N64" s="476"/>
      <c r="O64" s="476"/>
      <c r="P64" s="158"/>
      <c r="Q64" s="158"/>
      <c r="R64" s="158"/>
      <c r="S64" s="533" t="s">
        <v>1275</v>
      </c>
      <c r="T64" s="533" t="s">
        <v>1275</v>
      </c>
      <c r="U64" s="476"/>
      <c r="V64" s="153">
        <f>SUM(V65:V70)</f>
        <v>0</v>
      </c>
      <c r="W64" s="19"/>
      <c r="X64" s="74"/>
      <c r="Y64" s="12"/>
      <c r="Z64" s="19"/>
    </row>
    <row r="65" spans="2:25">
      <c r="B65" s="186" t="s">
        <v>1021</v>
      </c>
      <c r="C65" s="184" t="s">
        <v>1063</v>
      </c>
      <c r="D65" s="179" t="s">
        <v>479</v>
      </c>
      <c r="E65" s="35"/>
      <c r="F65" s="24"/>
      <c r="G65" s="21"/>
      <c r="H65" s="20"/>
      <c r="I65" s="36"/>
      <c r="J65" s="300"/>
      <c r="K65" s="302"/>
      <c r="L65" s="302"/>
      <c r="M65" s="302"/>
      <c r="N65" s="44">
        <f t="shared" ref="N65:N70" si="10">IF($D65="MWh/yr (LHV)",$E65,$J65*$E65*(1-$L65)/Conversion_kWh_to_MJ)</f>
        <v>0</v>
      </c>
      <c r="O65" s="73"/>
      <c r="P65" s="12"/>
      <c r="S65" s="300" t="str">
        <f t="shared" ref="S65:S70" si="11">IF(B65="", "", IF(D65="MWh/yr (LHV)", "Use column to right", "Enter data here"))</f>
        <v>Use column to right</v>
      </c>
      <c r="T65" s="300" t="e">
        <f>IF(B65="", "", IF(D65="MWh/yr (LHV)", Initial_questions!$E$43*1/Conversion_kWh_to_MJ, "Use column to left"))</f>
        <v>#VALUE!</v>
      </c>
      <c r="U65" s="35" t="s">
        <v>1062</v>
      </c>
      <c r="V65" s="44" t="str">
        <f t="shared" ref="V65:V70" si="12">IFERROR(IF(D65="tonnes/yr", $S65*$E65/($N$9*3.6), $T65*$E65*3.6/($N$9*3.6)), "Unfilled fields to left")</f>
        <v>Unfilled fields to left</v>
      </c>
      <c r="X65" s="25"/>
      <c r="Y65" s="12"/>
    </row>
    <row r="66" spans="2:25">
      <c r="B66" s="186" t="s">
        <v>1021</v>
      </c>
      <c r="C66" s="184" t="s">
        <v>1061</v>
      </c>
      <c r="D66" s="179" t="s">
        <v>479</v>
      </c>
      <c r="E66" s="35"/>
      <c r="F66" s="24"/>
      <c r="G66" s="21"/>
      <c r="H66" s="20"/>
      <c r="I66" s="36"/>
      <c r="J66" s="300"/>
      <c r="K66" s="302"/>
      <c r="L66" s="302"/>
      <c r="M66" s="302"/>
      <c r="N66" s="44">
        <f t="shared" si="10"/>
        <v>0</v>
      </c>
      <c r="O66" s="73"/>
      <c r="P66" s="55"/>
      <c r="S66" s="300" t="str">
        <f t="shared" si="11"/>
        <v>Use column to right</v>
      </c>
      <c r="T66" s="300" t="e">
        <f>INDEX(Proj_grid_intensity_kWh,MATCH(Operations_year,Proj_grid_year,0))/Conversion_kWh_to_MJ</f>
        <v>#N/A</v>
      </c>
      <c r="U66" s="35" t="s">
        <v>1064</v>
      </c>
      <c r="V66" s="44" t="str">
        <f t="shared" si="12"/>
        <v>Unfilled fields to left</v>
      </c>
      <c r="X66" s="25"/>
      <c r="Y66" s="12"/>
    </row>
    <row r="67" spans="2:25" s="14" customFormat="1">
      <c r="B67" s="186" t="s">
        <v>1021</v>
      </c>
      <c r="C67" s="184" t="s">
        <v>1276</v>
      </c>
      <c r="D67" s="179" t="s">
        <v>459</v>
      </c>
      <c r="E67" s="35"/>
      <c r="F67" s="24"/>
      <c r="G67" s="21"/>
      <c r="H67" s="21"/>
      <c r="I67" s="21"/>
      <c r="J67" s="306"/>
      <c r="K67" s="306"/>
      <c r="L67" s="306"/>
      <c r="M67" s="306"/>
      <c r="N67" s="44">
        <f t="shared" si="10"/>
        <v>0</v>
      </c>
      <c r="O67" s="73"/>
      <c r="P67" s="12"/>
      <c r="Q67" s="12"/>
      <c r="R67" s="12"/>
      <c r="S67" s="300" t="str">
        <f t="shared" si="11"/>
        <v>Enter data here</v>
      </c>
      <c r="T67" s="300" t="str">
        <f>IF(B67="", "", IF(D67="MWh/yr (LHV)", "Enter data here", "Use column to left"))</f>
        <v>Use column to left</v>
      </c>
      <c r="U67" s="35" t="s">
        <v>1066</v>
      </c>
      <c r="V67" s="44" t="str">
        <f t="shared" si="12"/>
        <v>Unfilled fields to left</v>
      </c>
      <c r="W67" s="19"/>
      <c r="X67" s="21"/>
    </row>
    <row r="68" spans="2:25" s="14" customFormat="1">
      <c r="B68" s="186" t="s">
        <v>1021</v>
      </c>
      <c r="C68" s="184" t="s">
        <v>1277</v>
      </c>
      <c r="D68" s="179" t="s">
        <v>459</v>
      </c>
      <c r="E68" s="35"/>
      <c r="F68" s="24"/>
      <c r="G68" s="21"/>
      <c r="H68" s="21"/>
      <c r="I68" s="21"/>
      <c r="J68" s="306"/>
      <c r="K68" s="306"/>
      <c r="L68" s="306"/>
      <c r="M68" s="306"/>
      <c r="N68" s="44">
        <f t="shared" si="10"/>
        <v>0</v>
      </c>
      <c r="O68" s="73"/>
      <c r="P68" s="12"/>
      <c r="Q68" s="12"/>
      <c r="R68" s="12"/>
      <c r="S68" s="300" t="str">
        <f t="shared" si="11"/>
        <v>Enter data here</v>
      </c>
      <c r="T68" s="300" t="str">
        <f>IF(B68="", "", IF(D68="MWh/yr (LHV)", "Enter data here", "Use column to left"))</f>
        <v>Use column to left</v>
      </c>
      <c r="U68" s="35" t="s">
        <v>1066</v>
      </c>
      <c r="V68" s="44" t="str">
        <f t="shared" si="12"/>
        <v>Unfilled fields to left</v>
      </c>
      <c r="W68" s="19"/>
      <c r="X68" s="21"/>
    </row>
    <row r="69" spans="2:25" s="14" customFormat="1">
      <c r="B69" s="186" t="s">
        <v>1021</v>
      </c>
      <c r="C69" s="184" t="s">
        <v>1068</v>
      </c>
      <c r="D69" s="179" t="s">
        <v>479</v>
      </c>
      <c r="E69" s="35"/>
      <c r="F69" s="24"/>
      <c r="G69" s="21"/>
      <c r="H69" s="21"/>
      <c r="I69" s="21"/>
      <c r="J69" s="306"/>
      <c r="K69" s="306"/>
      <c r="L69" s="306"/>
      <c r="M69" s="306"/>
      <c r="N69" s="44">
        <f t="shared" si="10"/>
        <v>0</v>
      </c>
      <c r="O69" s="73"/>
      <c r="P69" s="12"/>
      <c r="Q69" s="12"/>
      <c r="R69" s="12"/>
      <c r="S69" s="300" t="str">
        <f t="shared" si="11"/>
        <v>Use column to right</v>
      </c>
      <c r="T69" s="300" t="e">
        <f>INDEX(Proj_grid_intensity_kWh,MATCH(Operations_year,Proj_grid_year,0))/Conversion_kWh_to_MJ</f>
        <v>#N/A</v>
      </c>
      <c r="U69" s="35" t="s">
        <v>1064</v>
      </c>
      <c r="V69" s="44" t="str">
        <f t="shared" si="12"/>
        <v>Unfilled fields to left</v>
      </c>
      <c r="W69" s="19"/>
      <c r="X69" s="21"/>
    </row>
    <row r="70" spans="2:25" s="14" customFormat="1">
      <c r="B70" s="16"/>
      <c r="C70" s="15"/>
      <c r="D70" s="179"/>
      <c r="E70" s="35"/>
      <c r="F70" s="24"/>
      <c r="G70" s="21"/>
      <c r="H70" s="21"/>
      <c r="I70" s="21"/>
      <c r="J70" s="306"/>
      <c r="K70" s="306"/>
      <c r="L70" s="306"/>
      <c r="M70" s="306"/>
      <c r="N70" s="44">
        <f t="shared" si="10"/>
        <v>0</v>
      </c>
      <c r="O70" s="73"/>
      <c r="P70" s="12"/>
      <c r="Q70" s="12"/>
      <c r="R70" s="12"/>
      <c r="S70" s="300" t="str">
        <f t="shared" si="11"/>
        <v/>
      </c>
      <c r="T70" s="300" t="str">
        <f>IF(B70="", "", IF(D70="MWh/yr (LHV)", "Enter data here", "Use column to left"))</f>
        <v/>
      </c>
      <c r="U70" s="300"/>
      <c r="V70" s="44" t="str">
        <f t="shared" si="12"/>
        <v>Unfilled fields to left</v>
      </c>
      <c r="W70" s="19"/>
      <c r="X70" s="21"/>
    </row>
    <row r="71" spans="2:25" s="14" customFormat="1">
      <c r="B71" s="68"/>
      <c r="C71" s="69"/>
      <c r="D71" s="69"/>
      <c r="E71" s="142"/>
      <c r="F71" s="70"/>
      <c r="G71" s="70"/>
      <c r="H71" s="71"/>
      <c r="I71" s="71"/>
      <c r="J71" s="73"/>
      <c r="K71" s="73"/>
      <c r="L71" s="73"/>
      <c r="M71" s="73"/>
      <c r="N71" s="73"/>
      <c r="O71" s="73"/>
      <c r="P71" s="12"/>
      <c r="Q71" s="12"/>
      <c r="R71" s="12"/>
      <c r="S71" s="73"/>
      <c r="T71" s="73"/>
      <c r="U71" s="73"/>
      <c r="V71" s="87"/>
      <c r="W71" s="19"/>
      <c r="X71" s="70"/>
    </row>
    <row r="72" spans="2:25" s="14" customFormat="1">
      <c r="B72" s="68"/>
      <c r="C72" s="69"/>
      <c r="D72" s="69"/>
      <c r="E72" s="504"/>
      <c r="F72" s="70"/>
      <c r="G72" s="70"/>
      <c r="H72" s="70"/>
      <c r="I72" s="70"/>
      <c r="J72" s="142"/>
      <c r="K72" s="142"/>
      <c r="L72" s="142"/>
      <c r="M72" s="142"/>
      <c r="N72" s="73"/>
      <c r="O72" s="73"/>
      <c r="P72" s="19"/>
      <c r="Q72" s="19"/>
      <c r="R72" s="19"/>
      <c r="S72" s="73"/>
      <c r="T72" s="73"/>
      <c r="U72" s="73"/>
      <c r="V72" s="525" t="s">
        <v>1251</v>
      </c>
      <c r="W72" s="19"/>
      <c r="X72" s="70"/>
    </row>
    <row r="73" spans="2:25" s="14" customFormat="1" ht="16.5">
      <c r="B73" s="145" t="s">
        <v>1278</v>
      </c>
      <c r="C73" s="159"/>
      <c r="D73" s="159"/>
      <c r="E73" s="499"/>
      <c r="F73" s="160"/>
      <c r="G73" s="161"/>
      <c r="H73" s="160"/>
      <c r="I73" s="160"/>
      <c r="J73" s="307"/>
      <c r="K73" s="307"/>
      <c r="L73" s="307"/>
      <c r="M73" s="307"/>
      <c r="N73" s="307"/>
      <c r="O73" s="307"/>
      <c r="P73" s="162"/>
      <c r="Q73" s="163"/>
      <c r="R73" s="152"/>
      <c r="S73" s="307" t="s">
        <v>1279</v>
      </c>
      <c r="T73" s="307"/>
      <c r="U73" s="307"/>
      <c r="V73" s="153">
        <f>SUM(V74:V76)</f>
        <v>0</v>
      </c>
      <c r="W73" s="19"/>
      <c r="X73" s="70"/>
    </row>
    <row r="74" spans="2:25" s="14" customFormat="1">
      <c r="B74" s="186" t="s">
        <v>1070</v>
      </c>
      <c r="C74" s="184" t="s">
        <v>1280</v>
      </c>
      <c r="D74" s="179" t="s">
        <v>459</v>
      </c>
      <c r="E74" s="35">
        <f>E47*$E$105</f>
        <v>0</v>
      </c>
      <c r="F74" s="63"/>
      <c r="G74" s="63"/>
      <c r="H74" s="63"/>
      <c r="I74" s="63"/>
      <c r="J74" s="304"/>
      <c r="K74" s="306"/>
      <c r="L74" s="306"/>
      <c r="M74" s="306"/>
      <c r="N74" s="44">
        <f>IF($D74="MWh/yr (LHV)",$E74,$J74*$E74*(1-$L74)/Conversion_kWh_to_MJ)</f>
        <v>0</v>
      </c>
      <c r="O74" s="73"/>
      <c r="P74" s="12"/>
      <c r="Q74" s="12"/>
      <c r="R74" s="12"/>
      <c r="S74" s="528">
        <v>-1000</v>
      </c>
      <c r="T74" s="477"/>
      <c r="U74" s="530" t="s">
        <v>1203</v>
      </c>
      <c r="V74" s="44" t="str">
        <f>IFERROR(IF(D74="tonnes/yr", $S74*$E74/($N$9*3.6*$E$106), $T74*$E74*3.6/($N$9*3.6*$E$106)), "Unfilled fields to left")</f>
        <v>Unfilled fields to left</v>
      </c>
      <c r="W74" s="19"/>
      <c r="X74" s="21"/>
    </row>
    <row r="75" spans="2:25" s="14" customFormat="1">
      <c r="B75" s="64"/>
      <c r="C75" s="15"/>
      <c r="D75" s="179"/>
      <c r="E75" s="35"/>
      <c r="F75" s="21"/>
      <c r="G75" s="21"/>
      <c r="H75" s="63"/>
      <c r="I75" s="63"/>
      <c r="J75" s="304"/>
      <c r="K75" s="306"/>
      <c r="L75" s="306"/>
      <c r="M75" s="306"/>
      <c r="N75" s="44">
        <f>IF($D75="MWh/yr (LHV)",$E75,$J75*$E75*(1-$L75)/Conversion_kWh_to_MJ)</f>
        <v>0</v>
      </c>
      <c r="O75" s="73"/>
      <c r="P75" s="19"/>
      <c r="Q75" s="19"/>
      <c r="R75" s="19"/>
      <c r="S75" s="529"/>
      <c r="T75" s="477"/>
      <c r="U75" s="531"/>
      <c r="V75" s="44" t="str">
        <f>IFERROR(IF(D75="tonnes/yr", $S75*$E75/($N$9*3.6*$E$106), $T75*$E75*3.6/($N$9*3.6*$E$106)), "Unfilled fields to left")</f>
        <v>Unfilled fields to left</v>
      </c>
      <c r="X75" s="65"/>
    </row>
    <row r="76" spans="2:25" s="14" customFormat="1">
      <c r="B76" s="64"/>
      <c r="C76" s="15"/>
      <c r="D76" s="179"/>
      <c r="E76" s="35"/>
      <c r="F76" s="21"/>
      <c r="G76" s="21"/>
      <c r="H76" s="21"/>
      <c r="I76" s="21"/>
      <c r="J76" s="21"/>
      <c r="K76" s="306"/>
      <c r="L76" s="306"/>
      <c r="M76" s="306"/>
      <c r="N76" s="44">
        <f>IF($D76="MWh/yr (LHV)",$E76,$J76*$E76*(1-$L76)/Conversion_kWh_to_MJ)</f>
        <v>0</v>
      </c>
      <c r="O76" s="73"/>
      <c r="P76" s="19"/>
      <c r="Q76" s="19"/>
      <c r="R76" s="19"/>
      <c r="S76" s="529"/>
      <c r="T76" s="477"/>
      <c r="U76" s="531"/>
      <c r="V76" s="44" t="str">
        <f>IFERROR(IF(D76="tonnes/yr", $S76*$E76/($N$9*3.6*$E$106), $T76*$E76*3.6/($N$9*3.6*$E$106)), "Unfilled fields to left")</f>
        <v>Unfilled fields to left</v>
      </c>
      <c r="X76" s="65"/>
    </row>
    <row r="77" spans="2:25" s="14" customFormat="1">
      <c r="B77" s="68"/>
      <c r="C77" s="69"/>
      <c r="D77" s="69"/>
      <c r="E77" s="142"/>
      <c r="F77" s="70"/>
      <c r="G77" s="70"/>
      <c r="H77" s="71"/>
      <c r="I77" s="71"/>
      <c r="J77" s="73"/>
      <c r="K77" s="73"/>
      <c r="L77" s="73"/>
      <c r="M77" s="73"/>
      <c r="N77" s="73"/>
      <c r="O77" s="73"/>
      <c r="P77" s="12"/>
      <c r="Q77" s="12"/>
      <c r="R77" s="12"/>
      <c r="S77" s="73"/>
      <c r="T77" s="87"/>
      <c r="U77" s="73"/>
      <c r="X77" s="70"/>
    </row>
    <row r="78" spans="2:25" s="14" customFormat="1">
      <c r="B78" s="68"/>
      <c r="C78" s="69"/>
      <c r="D78" s="69"/>
      <c r="E78" s="142"/>
      <c r="F78" s="70"/>
      <c r="G78" s="70"/>
      <c r="H78" s="71"/>
      <c r="I78" s="71"/>
      <c r="J78" s="73"/>
      <c r="K78" s="73"/>
      <c r="L78" s="73"/>
      <c r="M78" s="73"/>
      <c r="N78" s="73"/>
      <c r="O78" s="73"/>
      <c r="P78" s="12"/>
      <c r="Q78" s="12"/>
      <c r="R78" s="12"/>
      <c r="S78" s="73"/>
      <c r="T78" s="73"/>
      <c r="U78" s="73"/>
      <c r="V78" s="360" t="s">
        <v>1255</v>
      </c>
      <c r="W78" s="19"/>
      <c r="X78" s="70"/>
    </row>
    <row r="79" spans="2:25" s="14" customFormat="1" ht="13.5" customHeight="1">
      <c r="B79" s="145" t="s">
        <v>1281</v>
      </c>
      <c r="C79" s="159"/>
      <c r="D79" s="159"/>
      <c r="E79" s="499"/>
      <c r="F79" s="160"/>
      <c r="G79" s="161"/>
      <c r="H79" s="160"/>
      <c r="I79" s="160"/>
      <c r="J79" s="307"/>
      <c r="K79" s="307"/>
      <c r="L79" s="307"/>
      <c r="M79" s="307"/>
      <c r="N79" s="307"/>
      <c r="O79" s="307"/>
      <c r="P79" s="162"/>
      <c r="Q79" s="163"/>
      <c r="R79" s="152"/>
      <c r="S79" s="307" t="s">
        <v>1279</v>
      </c>
      <c r="T79" s="307"/>
      <c r="U79" s="307"/>
      <c r="V79" s="153">
        <f>SUM(V80:V82)</f>
        <v>0</v>
      </c>
      <c r="W79" s="19"/>
      <c r="X79" s="70"/>
    </row>
    <row r="80" spans="2:25" s="14" customFormat="1">
      <c r="B80" s="186" t="s">
        <v>1070</v>
      </c>
      <c r="C80" s="184" t="s">
        <v>1282</v>
      </c>
      <c r="D80" s="179" t="s">
        <v>459</v>
      </c>
      <c r="E80" s="35">
        <f>E53*$E$105</f>
        <v>0</v>
      </c>
      <c r="F80" s="63"/>
      <c r="G80" s="63"/>
      <c r="H80" s="63"/>
      <c r="I80" s="63"/>
      <c r="J80" s="304"/>
      <c r="K80" s="306"/>
      <c r="L80" s="306"/>
      <c r="M80" s="306"/>
      <c r="N80" s="44">
        <f>IF($D80="MWh/yr (LHV)",$E80,$J80*$E80*(1-$L80)/Conversion_kWh_to_MJ)</f>
        <v>0</v>
      </c>
      <c r="O80" s="73"/>
      <c r="P80" s="12"/>
      <c r="Q80" s="12"/>
      <c r="R80" s="12"/>
      <c r="S80" s="300">
        <v>-1000</v>
      </c>
      <c r="T80" s="477"/>
      <c r="U80" s="35" t="s">
        <v>1259</v>
      </c>
      <c r="V80" s="44" t="str">
        <f>IFERROR(IF(D80="tonnes/yr", $S80*$E80/($N$9*3.6*$E$107), $T80*$E80*3.6/($N$9*3.6*$E$107)), "Unfilled fields to left")</f>
        <v>Unfilled fields to left</v>
      </c>
      <c r="W80" s="19"/>
      <c r="X80" s="21"/>
    </row>
    <row r="81" spans="2:24" s="14" customFormat="1">
      <c r="B81" s="64"/>
      <c r="C81" s="15"/>
      <c r="D81" s="179"/>
      <c r="E81" s="35"/>
      <c r="F81" s="21"/>
      <c r="G81" s="21"/>
      <c r="H81" s="63"/>
      <c r="I81" s="63"/>
      <c r="J81" s="304"/>
      <c r="K81" s="306"/>
      <c r="L81" s="306"/>
      <c r="M81" s="306"/>
      <c r="N81" s="44">
        <f>IF($D81="MWh/yr (LHV)",$E81,$J81*$E81*(1-$L81)/Conversion_kWh_to_MJ)</f>
        <v>0</v>
      </c>
      <c r="O81" s="73"/>
      <c r="P81" s="19"/>
      <c r="Q81" s="19"/>
      <c r="R81" s="19"/>
      <c r="S81" s="302"/>
      <c r="T81" s="477"/>
      <c r="U81" s="302"/>
      <c r="V81" s="44" t="str">
        <f>IFERROR(IF(D81="tonnes/yr", $S81*$E81/($N$9*3.6*$E$107), $T81*$E81*3.6/($N$9*3.6*$E$107)), "Unfilled fields to left")</f>
        <v>Unfilled fields to left</v>
      </c>
      <c r="W81" s="19"/>
      <c r="X81" s="65"/>
    </row>
    <row r="82" spans="2:24" s="14" customFormat="1">
      <c r="B82" s="64"/>
      <c r="C82" s="15"/>
      <c r="D82" s="179"/>
      <c r="E82" s="35"/>
      <c r="F82" s="21"/>
      <c r="G82" s="21"/>
      <c r="H82" s="21"/>
      <c r="I82" s="21"/>
      <c r="J82" s="306"/>
      <c r="K82" s="306"/>
      <c r="L82" s="306"/>
      <c r="M82" s="306"/>
      <c r="N82" s="44">
        <f>IF($D82="MWh/yr (LHV)",$E82,$J82*$E82*(1-$L82)/Conversion_kWh_to_MJ)</f>
        <v>0</v>
      </c>
      <c r="O82" s="73"/>
      <c r="P82" s="19"/>
      <c r="Q82" s="19"/>
      <c r="R82" s="19"/>
      <c r="S82" s="308"/>
      <c r="T82" s="477"/>
      <c r="U82" s="302"/>
      <c r="V82" s="44" t="str">
        <f>IFERROR(IF(D82="tonnes/yr", $S82*$E82/($N$9*3.6*$E$107), $T82*$E82*3.6/($N$9*3.6*$E$107)), "Unfilled fields to left")</f>
        <v>Unfilled fields to left</v>
      </c>
      <c r="W82" s="19"/>
      <c r="X82" s="65"/>
    </row>
    <row r="83" spans="2:24" s="14" customFormat="1">
      <c r="B83" s="68"/>
      <c r="C83" s="69"/>
      <c r="D83" s="69"/>
      <c r="E83" s="504"/>
      <c r="F83" s="70"/>
      <c r="G83" s="70"/>
      <c r="H83" s="70"/>
      <c r="I83" s="70"/>
      <c r="J83" s="142"/>
      <c r="K83" s="142"/>
      <c r="L83" s="142"/>
      <c r="M83" s="142"/>
      <c r="N83" s="73"/>
      <c r="O83" s="73"/>
      <c r="P83" s="19"/>
      <c r="Q83" s="19"/>
      <c r="R83" s="19"/>
      <c r="S83" s="73"/>
      <c r="T83" s="73"/>
      <c r="U83" s="73"/>
      <c r="V83" s="87"/>
      <c r="W83" s="19"/>
      <c r="X83" s="70"/>
    </row>
    <row r="84" spans="2:24" s="14" customFormat="1">
      <c r="B84" s="68"/>
      <c r="C84" s="69"/>
      <c r="D84" s="69"/>
      <c r="E84" s="142"/>
      <c r="F84" s="70"/>
      <c r="G84" s="70"/>
      <c r="H84" s="71"/>
      <c r="I84" s="71"/>
      <c r="J84" s="73"/>
      <c r="K84" s="73"/>
      <c r="L84" s="73"/>
      <c r="M84" s="73"/>
      <c r="N84" s="73"/>
      <c r="O84" s="73"/>
      <c r="P84" s="12"/>
      <c r="Q84" s="12"/>
      <c r="R84" s="12"/>
      <c r="S84" s="73"/>
      <c r="T84" s="73"/>
      <c r="U84" s="73"/>
      <c r="V84" s="360" t="s">
        <v>1037</v>
      </c>
      <c r="W84" s="19"/>
      <c r="X84" s="70"/>
    </row>
    <row r="85" spans="2:24" s="14" customFormat="1" ht="13.5" customHeight="1">
      <c r="B85" s="145" t="s">
        <v>1283</v>
      </c>
      <c r="C85" s="159"/>
      <c r="D85" s="159"/>
      <c r="E85" s="499"/>
      <c r="F85" s="160"/>
      <c r="G85" s="161"/>
      <c r="H85" s="160"/>
      <c r="I85" s="160"/>
      <c r="J85" s="307"/>
      <c r="K85" s="307"/>
      <c r="L85" s="307"/>
      <c r="M85" s="307"/>
      <c r="N85" s="307"/>
      <c r="O85" s="307"/>
      <c r="P85" s="162"/>
      <c r="Q85" s="163"/>
      <c r="R85" s="152"/>
      <c r="S85" s="307" t="s">
        <v>1279</v>
      </c>
      <c r="T85" s="307"/>
      <c r="U85" s="307"/>
      <c r="V85" s="153">
        <f>SUM(V86:V88)</f>
        <v>0</v>
      </c>
      <c r="W85" s="19"/>
      <c r="X85" s="70"/>
    </row>
    <row r="86" spans="2:24" s="14" customFormat="1">
      <c r="B86" s="186" t="s">
        <v>1070</v>
      </c>
      <c r="C86" s="184" t="s">
        <v>1284</v>
      </c>
      <c r="D86" s="179" t="s">
        <v>459</v>
      </c>
      <c r="E86" s="35">
        <f>E59*$E$105</f>
        <v>0</v>
      </c>
      <c r="F86" s="63"/>
      <c r="G86" s="63"/>
      <c r="H86" s="63"/>
      <c r="I86" s="63"/>
      <c r="J86" s="304"/>
      <c r="K86" s="306"/>
      <c r="L86" s="306"/>
      <c r="M86" s="306"/>
      <c r="N86" s="44">
        <f>IF($D86="MWh/yr (LHV)",$E86,$J86*$E86*(1-$L86)/Conversion_kWh_to_MJ)</f>
        <v>0</v>
      </c>
      <c r="O86" s="73"/>
      <c r="P86" s="12"/>
      <c r="Q86" s="12"/>
      <c r="R86" s="12"/>
      <c r="S86" s="300">
        <v>-1000</v>
      </c>
      <c r="T86" s="477"/>
      <c r="U86" s="35" t="s">
        <v>1203</v>
      </c>
      <c r="V86" s="44" t="str">
        <f>IFERROR(IF(D86="tonnes/yr", $S86*$E86/($N$9*3.6), $T86*$E86*3.6/($N$9*3.6)), "Unfilled fields to left")</f>
        <v>Unfilled fields to left</v>
      </c>
      <c r="W86" s="19"/>
      <c r="X86" s="21"/>
    </row>
    <row r="87" spans="2:24" s="14" customFormat="1">
      <c r="B87" s="186" t="s">
        <v>1070</v>
      </c>
      <c r="C87" s="184" t="s">
        <v>1285</v>
      </c>
      <c r="D87" s="179" t="s">
        <v>459</v>
      </c>
      <c r="E87" s="35">
        <f>E60*$E$105</f>
        <v>0</v>
      </c>
      <c r="F87" s="21"/>
      <c r="G87" s="21"/>
      <c r="H87" s="63"/>
      <c r="I87" s="63"/>
      <c r="J87" s="304"/>
      <c r="K87" s="306"/>
      <c r="L87" s="306"/>
      <c r="M87" s="306"/>
      <c r="N87" s="44">
        <f>IF($D87="MWh/yr (LHV)",$E87,$J87*$E87*(1-$L87)/Conversion_kWh_to_MJ)</f>
        <v>0</v>
      </c>
      <c r="O87" s="73"/>
      <c r="P87" s="19"/>
      <c r="Q87" s="19"/>
      <c r="R87" s="19"/>
      <c r="S87" s="300">
        <v>-1000</v>
      </c>
      <c r="T87" s="477"/>
      <c r="U87" s="35" t="s">
        <v>1134</v>
      </c>
      <c r="V87" s="44" t="str">
        <f>IFERROR(IF(D87="tonnes/yr", $S87*$E87/($N$9*3.6), $T87*$E87*3.6/($N$9*3.6)), "Unfilled fields to left")</f>
        <v>Unfilled fields to left</v>
      </c>
      <c r="W87" s="19"/>
      <c r="X87" s="65"/>
    </row>
    <row r="88" spans="2:24" s="14" customFormat="1">
      <c r="B88" s="64"/>
      <c r="C88" s="15"/>
      <c r="D88" s="179"/>
      <c r="E88" s="35"/>
      <c r="F88" s="21"/>
      <c r="G88" s="21"/>
      <c r="H88" s="21"/>
      <c r="I88" s="21"/>
      <c r="J88" s="306"/>
      <c r="K88" s="306"/>
      <c r="L88" s="306"/>
      <c r="M88" s="306"/>
      <c r="N88" s="44">
        <f>IF($D88="MWh/yr (LHV)",$E88,$J88*$E88*(1-$L88)/Conversion_kWh_to_MJ)</f>
        <v>0</v>
      </c>
      <c r="O88" s="73"/>
      <c r="P88" s="19"/>
      <c r="Q88" s="19"/>
      <c r="R88" s="19"/>
      <c r="S88" s="308"/>
      <c r="T88" s="477"/>
      <c r="U88" s="302"/>
      <c r="V88" s="44" t="str">
        <f>IFERROR(IF(D88="tonnes/yr", $S88*$E88/($N$9*3.6), $T88*$E88*3.6/($N$9*3.6)), "Unfilled fields to left")</f>
        <v>Unfilled fields to left</v>
      </c>
      <c r="W88" s="19"/>
      <c r="X88" s="65"/>
    </row>
    <row r="89" spans="2:24" s="14" customFormat="1">
      <c r="B89" s="68"/>
      <c r="C89" s="69"/>
      <c r="D89" s="69"/>
      <c r="E89" s="142"/>
      <c r="F89" s="70"/>
      <c r="G89" s="70"/>
      <c r="H89" s="71"/>
      <c r="I89" s="71"/>
      <c r="J89" s="73"/>
      <c r="K89" s="73"/>
      <c r="L89" s="73"/>
      <c r="M89" s="73"/>
      <c r="N89" s="73"/>
      <c r="O89" s="73"/>
      <c r="P89" s="12"/>
      <c r="Q89" s="12"/>
      <c r="R89" s="12"/>
      <c r="S89" s="73"/>
      <c r="T89" s="73"/>
      <c r="U89" s="73"/>
      <c r="V89" s="360"/>
      <c r="X89" s="70"/>
    </row>
    <row r="90" spans="2:24" s="14" customFormat="1">
      <c r="B90" s="68"/>
      <c r="C90" s="69"/>
      <c r="D90" s="69"/>
      <c r="E90" s="142"/>
      <c r="F90" s="70"/>
      <c r="G90" s="70"/>
      <c r="H90" s="71"/>
      <c r="I90" s="71"/>
      <c r="J90" s="73"/>
      <c r="K90" s="73"/>
      <c r="L90" s="73"/>
      <c r="M90" s="73"/>
      <c r="N90" s="73"/>
      <c r="O90" s="73"/>
      <c r="P90" s="12"/>
      <c r="Q90" s="12"/>
      <c r="R90" s="12"/>
      <c r="S90" s="73"/>
      <c r="T90" s="73"/>
      <c r="U90" s="73"/>
      <c r="V90" s="360" t="s">
        <v>1037</v>
      </c>
      <c r="X90" s="70"/>
    </row>
    <row r="91" spans="2:24" s="14" customFormat="1" ht="16.5">
      <c r="B91" s="145" t="s">
        <v>131</v>
      </c>
      <c r="C91" s="159"/>
      <c r="D91" s="159"/>
      <c r="E91" s="499"/>
      <c r="F91" s="160"/>
      <c r="G91" s="161"/>
      <c r="H91" s="160"/>
      <c r="I91" s="160"/>
      <c r="J91" s="307"/>
      <c r="K91" s="307"/>
      <c r="L91" s="307"/>
      <c r="M91" s="307"/>
      <c r="N91" s="307"/>
      <c r="O91" s="307"/>
      <c r="P91" s="162"/>
      <c r="Q91" s="163"/>
      <c r="R91" s="152"/>
      <c r="S91" s="307" t="s">
        <v>1286</v>
      </c>
      <c r="T91" s="307"/>
      <c r="U91" s="307"/>
      <c r="V91" s="153">
        <f>SUM(V92:V99)</f>
        <v>0</v>
      </c>
      <c r="X91" s="70"/>
    </row>
    <row r="92" spans="2:24" s="14" customFormat="1">
      <c r="B92" s="186" t="s">
        <v>1072</v>
      </c>
      <c r="C92" s="184" t="s">
        <v>1073</v>
      </c>
      <c r="D92" s="179" t="s">
        <v>459</v>
      </c>
      <c r="E92" s="35"/>
      <c r="F92" s="21"/>
      <c r="G92" s="21"/>
      <c r="H92" s="21"/>
      <c r="I92" s="21"/>
      <c r="J92" s="306"/>
      <c r="K92" s="306"/>
      <c r="L92" s="306"/>
      <c r="M92" s="306"/>
      <c r="N92" s="44">
        <f t="shared" ref="N92:N99" si="13">IF($D92="MWh/yr (LHV)",$E92,$J92*$E92*(1-$L92)/Conversion_kWh_to_MJ)</f>
        <v>0</v>
      </c>
      <c r="O92" s="73"/>
      <c r="P92" s="12"/>
      <c r="Q92" s="12"/>
      <c r="R92" s="12"/>
      <c r="S92" s="35">
        <v>28000</v>
      </c>
      <c r="T92" s="518"/>
      <c r="U92" s="35" t="s">
        <v>1059</v>
      </c>
      <c r="V92" s="44" t="str">
        <f t="shared" ref="V92:V99" si="14">IFERROR(IF(D92="tonnes/yr", $S92*$E92/($N$9*3.6), $T92*$E92*3.6/($N$9*3.6)), "Unfilled fields to left")</f>
        <v>Unfilled fields to left</v>
      </c>
      <c r="X92" s="21"/>
    </row>
    <row r="93" spans="2:24" s="14" customFormat="1">
      <c r="B93" s="187" t="s">
        <v>1074</v>
      </c>
      <c r="C93" s="184" t="s">
        <v>1075</v>
      </c>
      <c r="D93" s="179" t="s">
        <v>459</v>
      </c>
      <c r="E93" s="35"/>
      <c r="F93" s="65"/>
      <c r="G93" s="65"/>
      <c r="H93" s="66"/>
      <c r="I93" s="66"/>
      <c r="J93" s="308"/>
      <c r="K93" s="308"/>
      <c r="L93" s="308"/>
      <c r="M93" s="308"/>
      <c r="N93" s="44">
        <f t="shared" si="13"/>
        <v>0</v>
      </c>
      <c r="O93" s="73"/>
      <c r="P93" s="19"/>
      <c r="Q93" s="19"/>
      <c r="R93" s="19"/>
      <c r="S93" s="35">
        <v>265000</v>
      </c>
      <c r="T93" s="518"/>
      <c r="U93" s="483" t="s">
        <v>1059</v>
      </c>
      <c r="V93" s="44" t="str">
        <f t="shared" si="14"/>
        <v>Unfilled fields to left</v>
      </c>
      <c r="X93" s="65"/>
    </row>
    <row r="94" spans="2:24" s="14" customFormat="1">
      <c r="B94" s="187" t="s">
        <v>1076</v>
      </c>
      <c r="C94" s="184" t="s">
        <v>1077</v>
      </c>
      <c r="D94" s="179" t="s">
        <v>459</v>
      </c>
      <c r="E94" s="35"/>
      <c r="F94" s="65"/>
      <c r="G94" s="65"/>
      <c r="H94" s="66"/>
      <c r="I94" s="66"/>
      <c r="J94" s="308"/>
      <c r="K94" s="308"/>
      <c r="L94" s="308"/>
      <c r="M94" s="308"/>
      <c r="N94" s="44">
        <f t="shared" si="13"/>
        <v>0</v>
      </c>
      <c r="O94" s="73"/>
      <c r="P94" s="19"/>
      <c r="Q94" s="19"/>
      <c r="R94" s="19"/>
      <c r="S94" s="35">
        <v>23500000</v>
      </c>
      <c r="T94" s="518"/>
      <c r="U94" s="483" t="s">
        <v>1059</v>
      </c>
      <c r="V94" s="44" t="str">
        <f t="shared" si="14"/>
        <v>Unfilled fields to left</v>
      </c>
      <c r="X94" s="65"/>
    </row>
    <row r="95" spans="2:24" s="14" customFormat="1">
      <c r="B95" s="187" t="s">
        <v>1078</v>
      </c>
      <c r="C95" s="184" t="s">
        <v>1079</v>
      </c>
      <c r="D95" s="179" t="s">
        <v>459</v>
      </c>
      <c r="E95" s="35"/>
      <c r="F95" s="65"/>
      <c r="G95" s="65"/>
      <c r="H95" s="66"/>
      <c r="I95" s="66"/>
      <c r="J95" s="308"/>
      <c r="K95" s="308"/>
      <c r="L95" s="308"/>
      <c r="M95" s="308"/>
      <c r="N95" s="44">
        <f t="shared" si="13"/>
        <v>0</v>
      </c>
      <c r="O95" s="73"/>
      <c r="P95" s="19"/>
      <c r="Q95" s="19"/>
      <c r="R95" s="19"/>
      <c r="S95" s="519" t="s">
        <v>1080</v>
      </c>
      <c r="T95" s="518"/>
      <c r="U95" s="483"/>
      <c r="V95" s="44" t="str">
        <f t="shared" si="14"/>
        <v>Unfilled fields to left</v>
      </c>
      <c r="X95" s="65"/>
    </row>
    <row r="96" spans="2:24" s="14" customFormat="1">
      <c r="B96" s="187" t="s">
        <v>1078</v>
      </c>
      <c r="C96" s="184" t="s">
        <v>1079</v>
      </c>
      <c r="D96" s="179" t="s">
        <v>459</v>
      </c>
      <c r="E96" s="35"/>
      <c r="F96" s="65"/>
      <c r="G96" s="65"/>
      <c r="H96" s="66"/>
      <c r="I96" s="66"/>
      <c r="J96" s="308"/>
      <c r="K96" s="308"/>
      <c r="L96" s="308"/>
      <c r="M96" s="308"/>
      <c r="N96" s="44">
        <f t="shared" si="13"/>
        <v>0</v>
      </c>
      <c r="O96" s="73"/>
      <c r="P96" s="19"/>
      <c r="Q96" s="19"/>
      <c r="R96" s="19"/>
      <c r="S96" s="519" t="s">
        <v>1080</v>
      </c>
      <c r="T96" s="518"/>
      <c r="U96" s="483"/>
      <c r="V96" s="44" t="str">
        <f t="shared" si="14"/>
        <v>Unfilled fields to left</v>
      </c>
      <c r="X96" s="65"/>
    </row>
    <row r="97" spans="2:25" s="14" customFormat="1">
      <c r="B97" s="187" t="s">
        <v>1078</v>
      </c>
      <c r="C97" s="184" t="s">
        <v>1079</v>
      </c>
      <c r="D97" s="179" t="s">
        <v>459</v>
      </c>
      <c r="E97" s="35"/>
      <c r="F97" s="65"/>
      <c r="G97" s="65"/>
      <c r="H97" s="66"/>
      <c r="I97" s="66"/>
      <c r="J97" s="308"/>
      <c r="K97" s="308"/>
      <c r="L97" s="308"/>
      <c r="M97" s="308"/>
      <c r="N97" s="44">
        <f t="shared" si="13"/>
        <v>0</v>
      </c>
      <c r="O97" s="73"/>
      <c r="P97" s="19"/>
      <c r="Q97" s="19"/>
      <c r="R97" s="19"/>
      <c r="S97" s="519" t="s">
        <v>1080</v>
      </c>
      <c r="T97" s="518"/>
      <c r="U97" s="483"/>
      <c r="V97" s="44" t="str">
        <f t="shared" si="14"/>
        <v>Unfilled fields to left</v>
      </c>
      <c r="X97" s="65"/>
    </row>
    <row r="98" spans="2:25" s="14" customFormat="1">
      <c r="B98" s="64"/>
      <c r="C98" s="15"/>
      <c r="D98" s="180"/>
      <c r="E98" s="500"/>
      <c r="F98" s="65"/>
      <c r="G98" s="65"/>
      <c r="H98" s="66"/>
      <c r="I98" s="66"/>
      <c r="J98" s="308"/>
      <c r="K98" s="308"/>
      <c r="L98" s="308"/>
      <c r="M98" s="308"/>
      <c r="N98" s="44">
        <f t="shared" si="13"/>
        <v>0</v>
      </c>
      <c r="O98" s="73"/>
      <c r="P98" s="19"/>
      <c r="Q98" s="19"/>
      <c r="R98" s="19"/>
      <c r="S98" s="302"/>
      <c r="T98" s="477"/>
      <c r="U98" s="308"/>
      <c r="V98" s="44" t="str">
        <f t="shared" si="14"/>
        <v>Unfilled fields to left</v>
      </c>
      <c r="X98" s="65"/>
    </row>
    <row r="99" spans="2:25" s="14" customFormat="1">
      <c r="B99" s="64"/>
      <c r="C99" s="15"/>
      <c r="D99" s="180"/>
      <c r="E99" s="500"/>
      <c r="F99" s="65"/>
      <c r="G99" s="65"/>
      <c r="H99" s="66"/>
      <c r="I99" s="66"/>
      <c r="J99" s="308"/>
      <c r="K99" s="308"/>
      <c r="L99" s="308"/>
      <c r="M99" s="308"/>
      <c r="N99" s="44">
        <f t="shared" si="13"/>
        <v>0</v>
      </c>
      <c r="O99" s="73"/>
      <c r="P99" s="19"/>
      <c r="Q99" s="19"/>
      <c r="R99" s="19"/>
      <c r="S99" s="302"/>
      <c r="T99" s="477"/>
      <c r="U99" s="308"/>
      <c r="V99" s="44" t="str">
        <f t="shared" si="14"/>
        <v>Unfilled fields to left</v>
      </c>
      <c r="X99" s="65"/>
    </row>
    <row r="100" spans="2:25">
      <c r="C100" s="17"/>
      <c r="D100" s="17"/>
      <c r="E100" s="140"/>
      <c r="F100" s="17"/>
      <c r="H100" s="18"/>
      <c r="I100" s="18"/>
      <c r="J100" s="40"/>
      <c r="K100" s="40"/>
      <c r="L100" s="40"/>
      <c r="M100" s="40"/>
      <c r="N100" s="40"/>
      <c r="O100" s="40"/>
      <c r="P100" s="12"/>
      <c r="S100" s="40"/>
      <c r="T100" s="40"/>
      <c r="U100" s="40"/>
      <c r="V100" s="40"/>
      <c r="Y100" s="12"/>
    </row>
    <row r="101" spans="2:25">
      <c r="E101" s="107"/>
      <c r="I101" s="12"/>
      <c r="J101" s="107"/>
      <c r="K101" s="107"/>
      <c r="L101" s="107"/>
      <c r="M101" s="107"/>
      <c r="N101" s="107"/>
      <c r="O101" s="107"/>
      <c r="P101" s="12"/>
      <c r="S101" s="39"/>
      <c r="T101" s="39"/>
      <c r="U101" s="38" t="s">
        <v>1260</v>
      </c>
      <c r="V101" s="153">
        <f>IF(OR(COUNTIF(Initial_questions!$E$112,"Default"), COUNTIF(Initial_questions!$E$114:$E$115,"Default")),"Default data selected",SUM(V20,V33,V46,V58,V64,V73,V85,V91))</f>
        <v>0</v>
      </c>
      <c r="W101" s="92"/>
      <c r="Y101" s="12"/>
    </row>
    <row r="102" spans="2:25">
      <c r="E102" s="107"/>
      <c r="I102" s="12"/>
      <c r="J102" s="107"/>
      <c r="K102" s="107"/>
      <c r="L102" s="107"/>
      <c r="M102" s="107"/>
      <c r="N102" s="107"/>
      <c r="O102" s="107"/>
      <c r="P102" s="12"/>
      <c r="S102" s="39"/>
      <c r="T102" s="39"/>
      <c r="U102" s="38" t="s">
        <v>1261</v>
      </c>
      <c r="V102" s="172">
        <f>IF(OR(COUNTIF(Initial_questions!$E$112,"Default"), COUNTIF(Initial_questions!$E$114:$E$115,"Default")),"Default data selected",SUM(V20,V33,V52,V57,V64,V79,V85,V91))</f>
        <v>0</v>
      </c>
      <c r="W102" s="92"/>
      <c r="Y102" s="12"/>
    </row>
    <row r="103" spans="2:25">
      <c r="B103" s="145" t="s">
        <v>132</v>
      </c>
      <c r="C103" s="159"/>
      <c r="D103" s="159"/>
      <c r="E103" s="499"/>
      <c r="I103" s="12"/>
      <c r="J103" s="107"/>
      <c r="K103" s="107"/>
      <c r="L103" s="107"/>
      <c r="M103" s="107"/>
      <c r="N103" s="107"/>
      <c r="O103" s="107"/>
      <c r="P103" s="12"/>
      <c r="S103" s="107"/>
      <c r="T103" s="107"/>
      <c r="U103" s="107"/>
      <c r="V103" s="12"/>
      <c r="Y103" s="12"/>
    </row>
    <row r="104" spans="2:25">
      <c r="B104" s="16" t="s">
        <v>1086</v>
      </c>
      <c r="C104" s="15" t="s">
        <v>1087</v>
      </c>
      <c r="D104" s="15" t="s">
        <v>1088</v>
      </c>
      <c r="E104" s="501"/>
      <c r="G104" s="19"/>
      <c r="H104" s="12"/>
      <c r="I104" s="12"/>
      <c r="J104" s="107"/>
      <c r="K104" s="107"/>
      <c r="L104" s="107"/>
      <c r="M104" s="107"/>
      <c r="N104" s="107"/>
      <c r="O104" s="107"/>
      <c r="P104" s="12"/>
      <c r="S104" s="107"/>
      <c r="T104" s="107"/>
      <c r="U104" s="107"/>
      <c r="V104" s="12"/>
      <c r="X104" s="25"/>
      <c r="Y104" s="12"/>
    </row>
    <row r="105" spans="2:25">
      <c r="B105" s="16" t="s">
        <v>1091</v>
      </c>
      <c r="C105" s="15" t="s">
        <v>1136</v>
      </c>
      <c r="D105" s="15" t="s">
        <v>785</v>
      </c>
      <c r="E105" s="511">
        <f>Initial_questions!$E$102</f>
        <v>0</v>
      </c>
      <c r="I105" s="12"/>
      <c r="J105" s="107"/>
      <c r="K105" s="107"/>
      <c r="L105" s="107"/>
      <c r="M105" s="107"/>
      <c r="N105" s="107"/>
      <c r="O105" s="107"/>
      <c r="P105" s="12"/>
      <c r="S105" s="107"/>
      <c r="T105" s="107"/>
      <c r="U105" s="107"/>
      <c r="V105" s="12"/>
      <c r="X105" s="25"/>
      <c r="Y105" s="12"/>
    </row>
    <row r="106" spans="2:25">
      <c r="B106" s="16" t="s">
        <v>1262</v>
      </c>
      <c r="C106" s="15" t="s">
        <v>1263</v>
      </c>
      <c r="D106" s="15" t="s">
        <v>785</v>
      </c>
      <c r="E106" s="511"/>
      <c r="I106" s="12"/>
      <c r="J106" s="107"/>
      <c r="K106" s="107"/>
      <c r="L106" s="107"/>
      <c r="M106" s="107"/>
      <c r="N106" s="107"/>
      <c r="O106" s="107"/>
      <c r="P106" s="12"/>
      <c r="S106" s="107"/>
      <c r="T106" s="107"/>
      <c r="U106" s="107"/>
      <c r="V106" s="12"/>
      <c r="X106" s="25"/>
      <c r="Y106" s="12"/>
    </row>
    <row r="107" spans="2:25">
      <c r="B107" s="16" t="s">
        <v>1262</v>
      </c>
      <c r="C107" s="15" t="s">
        <v>1264</v>
      </c>
      <c r="D107" s="15" t="s">
        <v>785</v>
      </c>
      <c r="E107" s="511">
        <f>1-E106</f>
        <v>1</v>
      </c>
      <c r="I107" s="12"/>
      <c r="J107" s="107"/>
      <c r="K107" s="107"/>
      <c r="L107" s="107"/>
      <c r="M107" s="107"/>
      <c r="N107" s="107"/>
      <c r="O107" s="107"/>
      <c r="P107" s="12"/>
      <c r="S107" s="107"/>
      <c r="T107" s="107"/>
      <c r="U107" s="107"/>
      <c r="V107" s="12"/>
      <c r="X107" s="25"/>
      <c r="Y107" s="12"/>
    </row>
    <row r="108" spans="2:25">
      <c r="B108" s="16"/>
      <c r="C108" s="15"/>
      <c r="D108" s="15"/>
      <c r="E108" s="501"/>
      <c r="I108" s="12"/>
      <c r="J108" s="107"/>
      <c r="K108" s="107"/>
      <c r="L108" s="107"/>
      <c r="M108" s="107"/>
      <c r="N108" s="107"/>
      <c r="O108" s="107"/>
      <c r="P108" s="12"/>
      <c r="S108" s="107"/>
      <c r="T108" s="107"/>
      <c r="U108" s="107"/>
      <c r="V108" s="12"/>
      <c r="X108" s="25"/>
      <c r="Y108" s="12"/>
    </row>
    <row r="109" spans="2:25">
      <c r="B109" s="16"/>
      <c r="C109" s="15"/>
      <c r="D109" s="15"/>
      <c r="E109" s="501"/>
      <c r="H109" s="12"/>
      <c r="I109" s="12"/>
      <c r="J109" s="107"/>
      <c r="K109" s="107"/>
      <c r="L109" s="107"/>
      <c r="M109" s="107"/>
      <c r="N109" s="107"/>
      <c r="O109" s="107"/>
      <c r="P109" s="12"/>
      <c r="S109" s="39"/>
      <c r="T109" s="39"/>
      <c r="U109" s="39"/>
      <c r="X109" s="25"/>
    </row>
    <row r="110" spans="2:25">
      <c r="E110" s="113"/>
      <c r="H110" s="12"/>
      <c r="I110" s="12"/>
      <c r="J110" s="107"/>
      <c r="K110" s="107"/>
      <c r="L110" s="107"/>
      <c r="M110" s="107"/>
      <c r="N110" s="107"/>
      <c r="O110" s="107"/>
      <c r="P110" s="12"/>
      <c r="S110" s="39"/>
      <c r="T110" s="39"/>
      <c r="U110" s="39"/>
    </row>
    <row r="111" spans="2:25">
      <c r="E111" s="113"/>
      <c r="J111" s="39"/>
      <c r="K111" s="39"/>
      <c r="L111" s="39"/>
      <c r="M111" s="39"/>
      <c r="S111" s="39"/>
      <c r="T111" s="39"/>
      <c r="U111" s="39"/>
    </row>
    <row r="112" spans="2:25">
      <c r="E112" s="113"/>
      <c r="J112" s="39"/>
      <c r="K112" s="39"/>
      <c r="L112" s="39"/>
      <c r="M112" s="39"/>
      <c r="S112" s="39"/>
      <c r="T112" s="39"/>
      <c r="U112" s="39"/>
    </row>
    <row r="113" spans="5:21">
      <c r="E113" s="113"/>
      <c r="J113" s="39"/>
      <c r="K113" s="39"/>
      <c r="L113" s="39"/>
      <c r="M113" s="39"/>
      <c r="S113" s="39"/>
      <c r="T113" s="39"/>
      <c r="U113" s="39"/>
    </row>
    <row r="114" spans="5:21">
      <c r="E114" s="113"/>
      <c r="J114" s="39"/>
      <c r="K114" s="39"/>
      <c r="L114" s="39"/>
      <c r="M114" s="39"/>
      <c r="S114" s="39"/>
      <c r="T114" s="39"/>
      <c r="U114" s="39"/>
    </row>
    <row r="115" spans="5:21">
      <c r="E115" s="113"/>
      <c r="J115" s="39"/>
      <c r="K115" s="39"/>
      <c r="L115" s="39"/>
      <c r="M115" s="39"/>
      <c r="S115" s="39"/>
      <c r="T115" s="39"/>
      <c r="U115" s="39"/>
    </row>
    <row r="116" spans="5:21">
      <c r="E116" s="113"/>
      <c r="J116" s="39"/>
      <c r="K116" s="39"/>
      <c r="L116" s="39"/>
      <c r="M116" s="39"/>
      <c r="S116" s="39"/>
      <c r="T116" s="39"/>
      <c r="U116" s="39"/>
    </row>
    <row r="117" spans="5:21">
      <c r="E117" s="113"/>
      <c r="J117" s="39"/>
      <c r="K117" s="39"/>
      <c r="L117" s="39"/>
      <c r="M117" s="39"/>
      <c r="S117" s="39"/>
      <c r="T117" s="39"/>
      <c r="U117" s="39"/>
    </row>
    <row r="118" spans="5:21">
      <c r="E118" s="113"/>
      <c r="J118" s="39"/>
      <c r="K118" s="39"/>
      <c r="L118" s="39"/>
      <c r="M118" s="39"/>
      <c r="S118" s="39"/>
      <c r="T118" s="39"/>
      <c r="U118" s="39"/>
    </row>
    <row r="119" spans="5:21">
      <c r="E119" s="113"/>
      <c r="J119" s="39"/>
      <c r="K119" s="39"/>
      <c r="L119" s="39"/>
      <c r="M119" s="39"/>
      <c r="S119" s="39"/>
      <c r="T119" s="39"/>
      <c r="U119" s="39"/>
    </row>
    <row r="120" spans="5:21">
      <c r="E120" s="113"/>
      <c r="J120" s="39"/>
      <c r="K120" s="39"/>
      <c r="L120" s="39"/>
      <c r="M120" s="39"/>
      <c r="S120" s="39"/>
      <c r="T120" s="39"/>
      <c r="U120" s="39"/>
    </row>
    <row r="121" spans="5:21">
      <c r="E121" s="113"/>
      <c r="J121" s="39"/>
      <c r="K121" s="39"/>
      <c r="L121" s="39"/>
      <c r="M121" s="39"/>
      <c r="S121" s="39"/>
      <c r="T121" s="39"/>
      <c r="U121" s="39"/>
    </row>
    <row r="122" spans="5:21">
      <c r="E122" s="113"/>
      <c r="J122" s="39"/>
      <c r="K122" s="39"/>
      <c r="L122" s="39"/>
      <c r="M122" s="39"/>
      <c r="S122" s="39"/>
      <c r="T122" s="39"/>
      <c r="U122" s="39"/>
    </row>
    <row r="123" spans="5:21">
      <c r="E123" s="113"/>
      <c r="J123" s="39"/>
      <c r="K123" s="39"/>
      <c r="L123" s="39"/>
      <c r="M123" s="39"/>
      <c r="S123" s="39"/>
      <c r="T123" s="39"/>
      <c r="U123" s="39"/>
    </row>
    <row r="124" spans="5:21">
      <c r="E124" s="113"/>
      <c r="J124" s="39"/>
      <c r="K124" s="39"/>
      <c r="L124" s="39"/>
      <c r="M124" s="39"/>
      <c r="S124" s="39"/>
      <c r="T124" s="39"/>
      <c r="U124" s="39"/>
    </row>
    <row r="125" spans="5:21">
      <c r="E125" s="113"/>
      <c r="J125" s="39"/>
      <c r="K125" s="39"/>
      <c r="L125" s="39"/>
      <c r="M125" s="39"/>
      <c r="S125" s="39"/>
      <c r="T125" s="39"/>
      <c r="U125" s="39"/>
    </row>
    <row r="126" spans="5:21">
      <c r="E126" s="113"/>
      <c r="J126" s="39"/>
      <c r="K126" s="39"/>
      <c r="L126" s="39"/>
      <c r="M126" s="39"/>
      <c r="S126" s="39"/>
      <c r="T126" s="39"/>
      <c r="U126" s="39"/>
    </row>
    <row r="127" spans="5:21">
      <c r="E127" s="113"/>
      <c r="S127" s="39"/>
      <c r="T127" s="39"/>
      <c r="U127" s="39"/>
    </row>
    <row r="128" spans="5:21">
      <c r="E128" s="113"/>
      <c r="S128" s="39"/>
      <c r="T128" s="39"/>
      <c r="U128" s="39"/>
    </row>
    <row r="129" spans="5:21">
      <c r="E129" s="113"/>
      <c r="S129" s="39"/>
      <c r="T129" s="39"/>
      <c r="U129" s="39"/>
    </row>
    <row r="130" spans="5:21">
      <c r="E130" s="113"/>
      <c r="S130" s="39"/>
      <c r="T130" s="39"/>
      <c r="U130" s="39"/>
    </row>
    <row r="131" spans="5:21">
      <c r="E131" s="113"/>
      <c r="S131" s="39"/>
      <c r="T131" s="39"/>
      <c r="U131" s="39"/>
    </row>
    <row r="132" spans="5:21">
      <c r="E132" s="113"/>
      <c r="S132" s="39"/>
      <c r="T132" s="39"/>
      <c r="U132" s="39"/>
    </row>
    <row r="133" spans="5:21">
      <c r="E133" s="113"/>
      <c r="S133" s="39"/>
      <c r="T133" s="39"/>
      <c r="U133" s="39"/>
    </row>
    <row r="134" spans="5:21">
      <c r="E134" s="113"/>
      <c r="S134" s="39"/>
      <c r="T134" s="39"/>
      <c r="U134" s="39"/>
    </row>
    <row r="135" spans="5:21">
      <c r="E135" s="113"/>
      <c r="S135" s="39"/>
      <c r="T135" s="39"/>
      <c r="U135" s="39"/>
    </row>
    <row r="136" spans="5:21">
      <c r="E136" s="113"/>
      <c r="S136" s="39"/>
      <c r="T136" s="39"/>
      <c r="U136" s="39"/>
    </row>
    <row r="137" spans="5:21">
      <c r="E137" s="113"/>
      <c r="S137" s="39"/>
      <c r="T137" s="39"/>
      <c r="U137" s="39"/>
    </row>
    <row r="138" spans="5:21">
      <c r="E138" s="113"/>
      <c r="S138" s="39"/>
      <c r="T138" s="39"/>
      <c r="U138" s="39"/>
    </row>
    <row r="139" spans="5:21">
      <c r="E139" s="113"/>
      <c r="S139" s="39"/>
      <c r="T139" s="39"/>
      <c r="U139" s="39"/>
    </row>
    <row r="140" spans="5:21">
      <c r="E140" s="113"/>
      <c r="S140" s="39"/>
      <c r="T140" s="39"/>
      <c r="U140" s="39"/>
    </row>
    <row r="141" spans="5:21">
      <c r="E141" s="113"/>
      <c r="S141" s="39"/>
      <c r="T141" s="39"/>
      <c r="U141" s="39"/>
    </row>
    <row r="142" spans="5:21">
      <c r="E142" s="113"/>
      <c r="S142" s="39"/>
      <c r="T142" s="39"/>
      <c r="U142" s="39"/>
    </row>
    <row r="143" spans="5:21">
      <c r="E143" s="113"/>
      <c r="S143" s="39"/>
      <c r="T143" s="39"/>
      <c r="U143" s="39"/>
    </row>
    <row r="144" spans="5:21">
      <c r="E144" s="113"/>
      <c r="S144" s="39"/>
      <c r="T144" s="39"/>
      <c r="U144" s="39"/>
    </row>
    <row r="145" spans="5:21">
      <c r="E145" s="113"/>
      <c r="S145" s="39"/>
      <c r="T145" s="39"/>
      <c r="U145" s="39"/>
    </row>
    <row r="146" spans="5:21">
      <c r="E146" s="113"/>
      <c r="S146" s="39"/>
      <c r="T146" s="39"/>
      <c r="U146" s="39"/>
    </row>
    <row r="147" spans="5:21">
      <c r="E147" s="113"/>
      <c r="S147" s="39"/>
      <c r="T147" s="39"/>
      <c r="U147" s="39"/>
    </row>
    <row r="148" spans="5:21">
      <c r="E148" s="113"/>
      <c r="S148" s="39"/>
      <c r="T148" s="39"/>
      <c r="U148" s="39"/>
    </row>
    <row r="149" spans="5:21">
      <c r="E149" s="113"/>
      <c r="S149" s="39"/>
      <c r="T149" s="39"/>
      <c r="U149" s="39"/>
    </row>
    <row r="150" spans="5:21">
      <c r="E150" s="113"/>
      <c r="S150" s="39"/>
      <c r="T150" s="39"/>
      <c r="U150" s="39"/>
    </row>
    <row r="151" spans="5:21">
      <c r="E151" s="113"/>
      <c r="S151" s="39"/>
      <c r="T151" s="39"/>
      <c r="U151" s="39"/>
    </row>
    <row r="152" spans="5:21">
      <c r="E152" s="256"/>
      <c r="S152" s="39"/>
      <c r="T152" s="39"/>
      <c r="U152" s="39"/>
    </row>
    <row r="153" spans="5:21">
      <c r="E153" s="256"/>
      <c r="S153" s="39"/>
      <c r="T153" s="39"/>
      <c r="U153" s="39"/>
    </row>
    <row r="154" spans="5:21">
      <c r="E154" s="256"/>
      <c r="S154" s="39"/>
      <c r="T154" s="39"/>
      <c r="U154" s="39"/>
    </row>
    <row r="155" spans="5:21">
      <c r="E155" s="256"/>
      <c r="S155" s="39"/>
      <c r="T155" s="39"/>
      <c r="U155" s="39"/>
    </row>
    <row r="156" spans="5:21">
      <c r="E156" s="256"/>
      <c r="S156" s="39"/>
      <c r="T156" s="39"/>
      <c r="U156" s="39"/>
    </row>
    <row r="157" spans="5:21">
      <c r="E157" s="256"/>
      <c r="S157" s="39"/>
      <c r="T157" s="39"/>
      <c r="U157" s="39"/>
    </row>
    <row r="158" spans="5:21">
      <c r="E158" s="256"/>
      <c r="S158" s="39"/>
      <c r="T158" s="39"/>
      <c r="U158" s="39"/>
    </row>
    <row r="159" spans="5:21">
      <c r="E159" s="256"/>
      <c r="S159" s="39"/>
      <c r="T159" s="39"/>
      <c r="U159" s="39"/>
    </row>
    <row r="160" spans="5:21">
      <c r="E160" s="256"/>
      <c r="S160" s="39"/>
      <c r="T160" s="39"/>
      <c r="U160" s="39"/>
    </row>
    <row r="161" spans="5:21">
      <c r="E161" s="256"/>
      <c r="S161" s="39"/>
      <c r="T161" s="39"/>
      <c r="U161" s="39"/>
    </row>
    <row r="162" spans="5:21">
      <c r="E162" s="256"/>
      <c r="S162" s="39"/>
      <c r="T162" s="39"/>
      <c r="U162" s="39"/>
    </row>
    <row r="163" spans="5:21">
      <c r="E163" s="256"/>
      <c r="S163" s="39"/>
      <c r="T163" s="39"/>
      <c r="U163" s="39"/>
    </row>
    <row r="164" spans="5:21">
      <c r="E164" s="256"/>
      <c r="S164" s="39"/>
      <c r="T164" s="39"/>
      <c r="U164" s="39"/>
    </row>
    <row r="165" spans="5:21">
      <c r="E165" s="256"/>
      <c r="S165" s="39"/>
      <c r="T165" s="39"/>
      <c r="U165" s="39"/>
    </row>
    <row r="166" spans="5:21">
      <c r="E166" s="256"/>
      <c r="S166" s="39"/>
      <c r="T166" s="39"/>
      <c r="U166" s="39"/>
    </row>
    <row r="167" spans="5:21">
      <c r="E167" s="256"/>
      <c r="S167" s="39"/>
      <c r="T167" s="39"/>
      <c r="U167" s="39"/>
    </row>
    <row r="168" spans="5:21">
      <c r="E168" s="256"/>
      <c r="S168" s="39"/>
      <c r="T168" s="39"/>
      <c r="U168" s="39"/>
    </row>
    <row r="169" spans="5:21">
      <c r="E169" s="256"/>
      <c r="S169" s="39"/>
      <c r="T169" s="39"/>
      <c r="U169" s="39"/>
    </row>
    <row r="170" spans="5:21">
      <c r="E170" s="256"/>
      <c r="S170" s="39"/>
      <c r="T170" s="39"/>
      <c r="U170" s="39"/>
    </row>
    <row r="171" spans="5:21">
      <c r="E171" s="256"/>
      <c r="S171" s="39"/>
      <c r="T171" s="39"/>
      <c r="U171" s="39"/>
    </row>
    <row r="172" spans="5:21">
      <c r="E172" s="256"/>
      <c r="S172" s="39"/>
      <c r="T172" s="39"/>
      <c r="U172" s="39"/>
    </row>
    <row r="173" spans="5:21">
      <c r="E173" s="256"/>
      <c r="S173" s="39"/>
      <c r="T173" s="39"/>
      <c r="U173" s="39"/>
    </row>
    <row r="174" spans="5:21">
      <c r="E174" s="256"/>
      <c r="S174" s="39"/>
      <c r="T174" s="39"/>
      <c r="U174" s="39"/>
    </row>
    <row r="175" spans="5:21">
      <c r="E175" s="256"/>
      <c r="S175" s="39"/>
      <c r="T175" s="39"/>
      <c r="U175" s="39"/>
    </row>
    <row r="176" spans="5:21">
      <c r="E176" s="256"/>
      <c r="S176" s="39"/>
      <c r="T176" s="39"/>
      <c r="U176" s="39"/>
    </row>
    <row r="177" spans="5:21">
      <c r="E177" s="256"/>
      <c r="S177" s="39"/>
      <c r="T177" s="39"/>
      <c r="U177" s="39"/>
    </row>
    <row r="178" spans="5:21">
      <c r="E178" s="256"/>
      <c r="S178" s="39"/>
      <c r="T178" s="39"/>
      <c r="U178" s="39"/>
    </row>
    <row r="179" spans="5:21">
      <c r="E179" s="256"/>
      <c r="S179" s="39"/>
      <c r="T179" s="39"/>
      <c r="U179" s="39"/>
    </row>
    <row r="180" spans="5:21">
      <c r="E180" s="256"/>
      <c r="S180" s="39"/>
      <c r="T180" s="39"/>
      <c r="U180" s="39"/>
    </row>
    <row r="181" spans="5:21">
      <c r="E181" s="256"/>
      <c r="S181" s="39"/>
      <c r="T181" s="39"/>
      <c r="U181" s="39"/>
    </row>
    <row r="182" spans="5:21">
      <c r="E182" s="256"/>
      <c r="S182" s="39"/>
      <c r="T182" s="39"/>
      <c r="U182" s="39"/>
    </row>
    <row r="183" spans="5:21">
      <c r="E183" s="256"/>
      <c r="S183" s="39"/>
      <c r="T183" s="39"/>
      <c r="U183" s="39"/>
    </row>
    <row r="184" spans="5:21">
      <c r="E184" s="256"/>
      <c r="S184" s="39"/>
      <c r="T184" s="39"/>
      <c r="U184" s="39"/>
    </row>
    <row r="185" spans="5:21">
      <c r="E185" s="256"/>
      <c r="S185" s="39"/>
      <c r="T185" s="39"/>
      <c r="U185" s="39"/>
    </row>
    <row r="186" spans="5:21">
      <c r="E186" s="256"/>
      <c r="S186" s="39"/>
      <c r="T186" s="39"/>
      <c r="U186" s="39"/>
    </row>
    <row r="187" spans="5:21">
      <c r="E187" s="256"/>
      <c r="S187" s="39"/>
      <c r="T187" s="39"/>
      <c r="U187" s="39"/>
    </row>
    <row r="188" spans="5:21">
      <c r="E188" s="256"/>
      <c r="S188" s="39"/>
      <c r="T188" s="39"/>
      <c r="U188" s="39"/>
    </row>
    <row r="189" spans="5:21">
      <c r="E189" s="256"/>
      <c r="S189" s="39"/>
      <c r="T189" s="39"/>
      <c r="U189" s="39"/>
    </row>
    <row r="190" spans="5:21">
      <c r="E190" s="256"/>
      <c r="S190" s="39"/>
      <c r="T190" s="39"/>
      <c r="U190" s="39"/>
    </row>
    <row r="191" spans="5:21">
      <c r="E191" s="256"/>
      <c r="S191" s="39"/>
      <c r="T191" s="39"/>
      <c r="U191" s="39"/>
    </row>
    <row r="192" spans="5:21">
      <c r="E192" s="256"/>
      <c r="S192" s="39"/>
      <c r="T192" s="39"/>
      <c r="U192" s="39"/>
    </row>
    <row r="193" spans="5:21">
      <c r="E193" s="256"/>
      <c r="S193" s="39"/>
      <c r="T193" s="39"/>
      <c r="U193" s="39"/>
    </row>
    <row r="194" spans="5:21">
      <c r="E194" s="256"/>
    </row>
    <row r="195" spans="5:21">
      <c r="E195" s="256"/>
    </row>
    <row r="196" spans="5:21">
      <c r="E196" s="256"/>
    </row>
    <row r="197" spans="5:21">
      <c r="E197" s="256"/>
    </row>
    <row r="198" spans="5:21">
      <c r="E198" s="256"/>
    </row>
    <row r="199" spans="5:21">
      <c r="E199" s="256"/>
    </row>
    <row r="200" spans="5:21">
      <c r="E200" s="256"/>
    </row>
    <row r="201" spans="5:21">
      <c r="E201" s="256"/>
    </row>
    <row r="202" spans="5:21">
      <c r="E202" s="256"/>
    </row>
    <row r="203" spans="5:21">
      <c r="E203" s="256"/>
    </row>
    <row r="204" spans="5:21">
      <c r="E204" s="256"/>
    </row>
    <row r="205" spans="5:21">
      <c r="E205" s="256"/>
    </row>
    <row r="206" spans="5:21">
      <c r="E206" s="256"/>
    </row>
    <row r="207" spans="5:21">
      <c r="E207" s="256"/>
    </row>
    <row r="208" spans="5:21">
      <c r="E208" s="256"/>
    </row>
    <row r="209" spans="5:5">
      <c r="E209" s="256"/>
    </row>
    <row r="210" spans="5:5">
      <c r="E210" s="256"/>
    </row>
    <row r="211" spans="5:5">
      <c r="E211" s="256"/>
    </row>
    <row r="212" spans="5:5">
      <c r="E212" s="256"/>
    </row>
    <row r="213" spans="5:5">
      <c r="E213" s="256"/>
    </row>
    <row r="214" spans="5:5">
      <c r="E214" s="256"/>
    </row>
    <row r="215" spans="5:5">
      <c r="E215" s="256"/>
    </row>
    <row r="216" spans="5:5">
      <c r="E216" s="256"/>
    </row>
    <row r="217" spans="5:5">
      <c r="E217" s="256"/>
    </row>
    <row r="218" spans="5:5">
      <c r="E218" s="256"/>
    </row>
    <row r="219" spans="5:5">
      <c r="E219" s="256"/>
    </row>
    <row r="220" spans="5:5">
      <c r="E220" s="256"/>
    </row>
    <row r="221" spans="5:5">
      <c r="E221" s="256"/>
    </row>
    <row r="222" spans="5:5">
      <c r="E222" s="256"/>
    </row>
    <row r="223" spans="5:5">
      <c r="E223" s="256"/>
    </row>
    <row r="224" spans="5:5">
      <c r="E224" s="256"/>
    </row>
    <row r="225" spans="5:5">
      <c r="E225" s="256"/>
    </row>
    <row r="226" spans="5:5">
      <c r="E226" s="256"/>
    </row>
    <row r="227" spans="5:5">
      <c r="E227" s="256"/>
    </row>
    <row r="228" spans="5:5">
      <c r="E228" s="256"/>
    </row>
    <row r="229" spans="5:5">
      <c r="E229" s="256"/>
    </row>
    <row r="230" spans="5:5">
      <c r="E230" s="256"/>
    </row>
    <row r="231" spans="5:5">
      <c r="E231" s="256"/>
    </row>
    <row r="232" spans="5:5">
      <c r="E232" s="256"/>
    </row>
    <row r="233" spans="5:5">
      <c r="E233" s="256"/>
    </row>
    <row r="234" spans="5:5">
      <c r="E234" s="256"/>
    </row>
    <row r="235" spans="5:5">
      <c r="E235" s="256"/>
    </row>
    <row r="236" spans="5:5">
      <c r="E236" s="256"/>
    </row>
    <row r="237" spans="5:5">
      <c r="E237" s="256"/>
    </row>
    <row r="238" spans="5:5">
      <c r="E238" s="256"/>
    </row>
    <row r="239" spans="5:5">
      <c r="E239" s="256"/>
    </row>
    <row r="240" spans="5:5">
      <c r="E240" s="256"/>
    </row>
    <row r="241" spans="5:5">
      <c r="E241" s="256"/>
    </row>
    <row r="242" spans="5:5">
      <c r="E242" s="256"/>
    </row>
    <row r="243" spans="5:5">
      <c r="E243" s="256"/>
    </row>
    <row r="244" spans="5:5">
      <c r="E244" s="256"/>
    </row>
    <row r="245" spans="5:5">
      <c r="E245" s="256"/>
    </row>
    <row r="246" spans="5:5">
      <c r="E246" s="256"/>
    </row>
    <row r="247" spans="5:5">
      <c r="E247" s="256"/>
    </row>
    <row r="248" spans="5:5">
      <c r="E248" s="256"/>
    </row>
    <row r="249" spans="5:5">
      <c r="E249" s="256"/>
    </row>
    <row r="250" spans="5:5">
      <c r="E250" s="256"/>
    </row>
    <row r="251" spans="5:5">
      <c r="E251" s="256"/>
    </row>
    <row r="252" spans="5:5">
      <c r="E252" s="256"/>
    </row>
    <row r="253" spans="5:5">
      <c r="E253" s="256"/>
    </row>
    <row r="254" spans="5:5">
      <c r="E254" s="256"/>
    </row>
    <row r="255" spans="5:5">
      <c r="E255" s="256"/>
    </row>
    <row r="256" spans="5:5">
      <c r="E256" s="256"/>
    </row>
    <row r="257" spans="5:5">
      <c r="E257" s="256"/>
    </row>
    <row r="258" spans="5:5">
      <c r="E258" s="256"/>
    </row>
    <row r="259" spans="5:5">
      <c r="E259" s="256"/>
    </row>
    <row r="260" spans="5:5">
      <c r="E260" s="256"/>
    </row>
    <row r="261" spans="5:5">
      <c r="E261" s="256"/>
    </row>
    <row r="262" spans="5:5">
      <c r="E262" s="256"/>
    </row>
    <row r="263" spans="5:5">
      <c r="E263" s="256"/>
    </row>
    <row r="264" spans="5:5">
      <c r="E264" s="256"/>
    </row>
    <row r="265" spans="5:5">
      <c r="E265" s="256"/>
    </row>
    <row r="266" spans="5:5">
      <c r="E266" s="256"/>
    </row>
    <row r="267" spans="5:5">
      <c r="E267" s="256"/>
    </row>
    <row r="268" spans="5:5">
      <c r="E268" s="256"/>
    </row>
    <row r="269" spans="5:5">
      <c r="E269" s="256"/>
    </row>
    <row r="270" spans="5:5">
      <c r="E270" s="256"/>
    </row>
    <row r="271" spans="5:5">
      <c r="E271" s="256"/>
    </row>
    <row r="272" spans="5:5">
      <c r="E272" s="256"/>
    </row>
    <row r="273" spans="5:5">
      <c r="E273" s="256"/>
    </row>
  </sheetData>
  <customSheetViews>
    <customSheetView guid="{2D920366-22B2-4182-A65D-0EDBE614FB37}" showGridLines="0">
      <pane xSplit="3" ySplit="5" topLeftCell="D6" activePane="bottomRight" state="frozen"/>
      <selection pane="bottomRight"/>
      <pageMargins left="0" right="0" top="0" bottom="0" header="0" footer="0"/>
    </customSheetView>
    <customSheetView guid="{F468A2FD-7987-4A9D-8BAE-1AACE523607F}" showGridLines="0">
      <pane xSplit="3" ySplit="5" topLeftCell="D6" activePane="bottomRight" state="frozen"/>
      <selection pane="bottomRight" activeCell="D1" sqref="D1"/>
      <pageMargins left="0" right="0" top="0" bottom="0" header="0" footer="0"/>
    </customSheetView>
    <customSheetView guid="{D97B1299-69D0-4EE0-B673-CCF74742F96B}" state="hidden">
      <selection activeCell="I2" sqref="I2:K2"/>
      <pageMargins left="0" right="0" top="0" bottom="0" header="0" footer="0"/>
    </customSheetView>
    <customSheetView guid="{3F0A4FBA-5323-448F-A023-B3E14C54064C}" showGridLines="0" state="hidden">
      <pane xSplit="3" ySplit="5" topLeftCell="G6" activePane="bottomRight" state="frozen"/>
      <selection pane="bottomRight" activeCell="D2" sqref="D2"/>
      <pageMargins left="0" right="0" top="0" bottom="0" header="0" footer="0"/>
    </customSheetView>
    <customSheetView guid="{E6EFD927-84B2-4D06-BB59-59D9DF522DA2}" showGridLines="0" state="hidden">
      <pane xSplit="3" ySplit="5" topLeftCell="D6" activePane="bottomRight" state="frozen"/>
      <selection pane="bottomRight" activeCell="D1" sqref="D1"/>
      <pageMargins left="0" right="0" top="0" bottom="0" header="0" footer="0"/>
    </customSheetView>
    <customSheetView guid="{0E935136-9A80-44B6-88D5-61E64D742049}" showGridLines="0" state="hidden">
      <pane xSplit="3" ySplit="5" topLeftCell="D6" activePane="bottomRight" state="frozen"/>
      <selection pane="bottomRight" activeCell="D1" sqref="D1"/>
      <pageMargins left="0" right="0" top="0" bottom="0" header="0" footer="0"/>
    </customSheetView>
    <customSheetView guid="{1C16EB38-F785-4168-9938-104594734038}" showGridLines="0" state="hidden">
      <pane xSplit="3" ySplit="5" topLeftCell="D6" activePane="bottomRight" state="frozen"/>
      <selection pane="bottomRight" activeCell="D1" sqref="D1"/>
      <pageMargins left="0" right="0" top="0" bottom="0" header="0" footer="0"/>
    </customSheetView>
    <customSheetView guid="{EECBF9DF-6D77-4263-85DA-71E40216BADD}" showGridLines="0" state="hidden">
      <pane xSplit="3" ySplit="5" topLeftCell="D6" activePane="bottomRight" state="frozen"/>
      <selection pane="bottomRight" activeCell="D1" sqref="D1"/>
      <pageMargins left="0" right="0" top="0" bottom="0" header="0" footer="0"/>
    </customSheetView>
    <customSheetView guid="{F03309BC-D3FA-4CF2-833B-D6D9A95FE1FB}" showGridLines="0" state="hidden">
      <pane xSplit="3" ySplit="5" topLeftCell="G6" activePane="bottomRight" state="frozen"/>
      <selection pane="bottomRight" activeCell="D2" sqref="D2"/>
      <pageMargins left="0" right="0" top="0" bottom="0" header="0" footer="0"/>
    </customSheetView>
  </customSheetViews>
  <mergeCells count="1">
    <mergeCell ref="I2:K2"/>
  </mergeCells>
  <dataValidations count="5">
    <dataValidation type="list" allowBlank="1" showInputMessage="1" showErrorMessage="1" sqref="D20:D30 D34:D43 D53:D55 D86:D88 D74:D76 D92:D99 D65:D70 D47:D50 D63 D72 D80:D83 D59:D61 D8 D10:D17" xr:uid="{9220F40D-2B35-4180-B735-453C775A462F}">
      <formula1>Flow_units</formula1>
    </dataValidation>
    <dataValidation type="custom" allowBlank="1" showInputMessage="1" showErrorMessage="1" error="Please do not change this formula" prompt="Please do not change this formula" sqref="W4 R6:R8 V104:V1048576 V1:V4 V6:V17 V19:V102 N1:O2 R14:R1048576 N4:P4 O6:O9 Q1:R4 P7 O18:O1048576 N6:N1048576 Q6:Q1048576 S5:V5" xr:uid="{21ADC1AC-BB3F-4086-B5E4-DFE0BD26773D}">
      <formula1>"Please do not change this formula"</formula1>
    </dataValidation>
    <dataValidation type="custom" allowBlank="1" showInputMessage="1" showErrorMessage="1" error="Please do not change" sqref="R9:R13" xr:uid="{60395A81-E7CB-4E8E-8C36-19658BAF9024}">
      <formula1>"Please do not change"</formula1>
    </dataValidation>
    <dataValidation type="custom" allowBlank="1" showInputMessage="1" showErrorMessage="1" error="Please do not change this formula" sqref="O5:R5" xr:uid="{ABCCF8AA-0DA5-4420-B5E4-5C59B4DDCDB9}">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72 S92:T100" xr:uid="{3A7AA794-1CB9-4DB7-B235-FDD0ACBB148C}">
      <formula1>0</formula1>
    </dataValidation>
  </dataValidations>
  <hyperlinks>
    <hyperlink ref="I2:J2" location="GHG_WASTE_GASIFICATION!A1" display="Go to the summary tab of this pathway" xr:uid="{F40DCEDB-E312-463C-B789-0763E090C683}"/>
  </hyperlinks>
  <pageMargins left="0" right="0" top="0" bottom="0" header="0" footer="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28" id="{00000000-000E-0000-3600-00001C000000}">
            <xm:f>AND(Path&lt;&gt;Units!$B$137, Path &lt;&gt;Units!$B$138,Master_Switch="On")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32" id="{50C4A571-C9B6-447D-B090-45A591B2C030}">
            <xm:f>AND(OR(GHG_WASTE_GASIFICATION!$D$9="Default",GHG_WASTE_GASIFICATION!$D$31="Default"),Master_Switch="On")</xm:f>
            <x14:dxf>
              <font>
                <color theme="0"/>
              </font>
              <fill>
                <patternFill>
                  <bgColor theme="0"/>
                </patternFill>
              </fill>
              <border>
                <left/>
                <right/>
                <top/>
                <bottom/>
              </border>
            </x14:dxf>
          </x14:cfRule>
          <xm:sqref>A21:XFD30</xm:sqref>
        </x14:conditionalFormatting>
        <x14:conditionalFormatting xmlns:xm="http://schemas.microsoft.com/office/excel/2006/main">
          <x14:cfRule type="expression" priority="4" id="{794C5D9F-EEC7-4DF7-B404-D0FDDBFAA0E5}">
            <xm:f>AND(OR(GHG_WASTE_GASIFICATION!$D$10="Default",GHG_WASTE_GASIFICATION!$D$32="Default"),Master_Switch="On")</xm:f>
            <x14:dxf>
              <font>
                <color theme="0"/>
              </font>
              <fill>
                <patternFill>
                  <bgColor theme="0"/>
                </patternFill>
              </fill>
              <border>
                <left/>
                <right/>
                <top/>
                <bottom/>
                <vertical/>
                <horizontal/>
              </border>
            </x14:dxf>
          </x14:cfRule>
          <xm:sqref>A34:XFD43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F26B060-DE8B-41A7-9079-03B43D2C1497}">
          <x14:formula1>
            <xm:f>Units!$Z$120</xm:f>
          </x14:formula1>
          <xm:sqref>D9</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4A2E6-DB10-48AA-B784-EC3F23CC1BDF}">
  <sheetPr codeName="Sheet60">
    <tabColor theme="0" tint="-0.34998626667073579"/>
  </sheetPr>
  <dimension ref="A1:E27"/>
  <sheetViews>
    <sheetView showGridLines="0" zoomScaleNormal="100" workbookViewId="0"/>
  </sheetViews>
  <sheetFormatPr defaultColWidth="8.81640625" defaultRowHeight="14.5"/>
  <cols>
    <col min="1" max="1" width="6.54296875" customWidth="1"/>
    <col min="2" max="2" width="92.81640625" customWidth="1"/>
    <col min="3" max="3" width="29.81640625" customWidth="1"/>
    <col min="4" max="10" width="21.1796875" customWidth="1"/>
  </cols>
  <sheetData>
    <row r="1" spans="1:5" ht="31">
      <c r="A1" s="571" t="str">
        <f>IF(AND(Path&lt;&gt;Units!$B$139, Initial_questions!$E$27&lt;&gt;Units!$L$125, Master_Switch="On"),"User should not fill in this sheet, but switch to other non-blank GHG worksheets","")</f>
        <v>User should not fill in this sheet, but switch to other non-blank GHG worksheets</v>
      </c>
    </row>
    <row r="2" spans="1:5" ht="18.5">
      <c r="A2" s="580"/>
      <c r="C2" s="729" t="s">
        <v>1093</v>
      </c>
      <c r="D2" s="731"/>
      <c r="E2" s="732"/>
    </row>
    <row r="3" spans="1:5" s="101" customFormat="1" ht="18.5">
      <c r="A3" s="580"/>
    </row>
    <row r="4" spans="1:5">
      <c r="B4" s="28" t="s">
        <v>1287</v>
      </c>
    </row>
    <row r="5" spans="1:5" ht="16.5">
      <c r="B5" t="s">
        <v>1288</v>
      </c>
    </row>
    <row r="7" spans="1:5" ht="18.75" customHeight="1">
      <c r="B7" s="62" t="s">
        <v>1289</v>
      </c>
      <c r="C7" s="563" t="str">
        <f>IF(Initial_questions!E27=Units!L132,"Grid average electricity","User to input")</f>
        <v>User to input</v>
      </c>
      <c r="D7" s="62" t="s">
        <v>1290</v>
      </c>
    </row>
    <row r="8" spans="1:5" ht="18.75" customHeight="1">
      <c r="B8" s="62" t="s">
        <v>1231</v>
      </c>
      <c r="C8" s="563" t="str">
        <f>IF(C7="Grid average electricity","22%","User to input")</f>
        <v>User to input</v>
      </c>
      <c r="D8" s="62" t="s">
        <v>1291</v>
      </c>
    </row>
    <row r="9" spans="1:5" ht="18.75" customHeight="1">
      <c r="B9" s="62" t="s">
        <v>1233</v>
      </c>
      <c r="C9" s="561" t="str">
        <f>IF(AND(Initial_questions!E113="Default", OR(Initial_questions!E21="Waste Gasification with CCS",Initial_questions!E21="Waste Gasification without CCS")),IFERROR(INDEX(Proj_grid_intensity_kWh,MATCH(Operations_year,Proj_grid_year,0))/Conversion_kWh_to_MJ,"Yet to provide year"),"User to input")</f>
        <v>User to input</v>
      </c>
      <c r="D9" s="62"/>
    </row>
    <row r="10" spans="1:5" ht="18.75" customHeight="1">
      <c r="B10" s="62" t="s">
        <v>1234</v>
      </c>
      <c r="C10" s="561" t="s">
        <v>1080</v>
      </c>
      <c r="D10" s="62" t="s">
        <v>1292</v>
      </c>
    </row>
    <row r="13" spans="1:5">
      <c r="B13" s="560" t="s">
        <v>1293</v>
      </c>
    </row>
    <row r="14" spans="1:5">
      <c r="B14" s="560" t="s">
        <v>1164</v>
      </c>
    </row>
    <row r="17" spans="2:2">
      <c r="B17" s="559" t="s">
        <v>1239</v>
      </c>
    </row>
    <row r="18" spans="2:2">
      <c r="B18" s="559" t="s">
        <v>1294</v>
      </c>
    </row>
    <row r="19" spans="2:2">
      <c r="B19" s="560" t="s">
        <v>1241</v>
      </c>
    </row>
    <row r="21" spans="2:2">
      <c r="B21" s="28" t="s">
        <v>1242</v>
      </c>
    </row>
    <row r="22" spans="2:2">
      <c r="B22" s="562"/>
    </row>
    <row r="23" spans="2:2">
      <c r="B23" s="562"/>
    </row>
    <row r="25" spans="2:2">
      <c r="B25" s="28" t="s">
        <v>1243</v>
      </c>
    </row>
    <row r="26" spans="2:2">
      <c r="B26" s="562"/>
    </row>
    <row r="27" spans="2:2">
      <c r="B27" s="562"/>
    </row>
  </sheetData>
  <customSheetViews>
    <customSheetView guid="{2D920366-22B2-4182-A65D-0EDBE614FB37}" showGridLines="0">
      <pageMargins left="0" right="0" top="0" bottom="0" header="0" footer="0"/>
    </customSheetView>
    <customSheetView guid="{F468A2FD-7987-4A9D-8BAE-1AACE523607F}" state="hidden">
      <selection activeCell="I2" sqref="I2:K2"/>
      <pageMargins left="0" right="0" top="0" bottom="0" header="0" footer="0"/>
    </customSheetView>
    <customSheetView guid="{D97B1299-69D0-4EE0-B673-CCF74742F96B}" state="hidden">
      <selection activeCell="I2" sqref="I2:K2"/>
      <pageMargins left="0" right="0" top="0" bottom="0" header="0" footer="0"/>
    </customSheetView>
    <customSheetView guid="{3F0A4FBA-5323-448F-A023-B3E14C54064C}" state="hidden">
      <selection activeCell="I2" sqref="I2:K2"/>
      <pageMargins left="0" right="0" top="0" bottom="0" header="0" footer="0"/>
    </customSheetView>
    <customSheetView guid="{E6EFD927-84B2-4D06-BB59-59D9DF522DA2}" state="hidden">
      <selection activeCell="I2" sqref="I2:K2"/>
      <pageMargins left="0" right="0" top="0" bottom="0" header="0" footer="0"/>
    </customSheetView>
    <customSheetView guid="{0E935136-9A80-44B6-88D5-61E64D742049}" showGridLines="0" state="hidden">
      <selection activeCell="I2" sqref="I2:K2"/>
      <pageMargins left="0" right="0" top="0" bottom="0" header="0" footer="0"/>
    </customSheetView>
    <customSheetView guid="{1C16EB38-F785-4168-9938-104594734038}" showGridLines="0" state="hidden">
      <selection activeCell="I2" sqref="I2:K2"/>
      <pageMargins left="0" right="0" top="0" bottom="0" header="0" footer="0"/>
    </customSheetView>
    <customSheetView guid="{EECBF9DF-6D77-4263-85DA-71E40216BADD}" state="hidden">
      <selection activeCell="I2" sqref="I2:K2"/>
      <pageMargins left="0" right="0" top="0" bottom="0" header="0" footer="0"/>
    </customSheetView>
    <customSheetView guid="{F03309BC-D3FA-4CF2-833B-D6D9A95FE1FB}" state="hidden">
      <selection activeCell="I2" sqref="I2:K2"/>
      <pageMargins left="0" right="0" top="0" bottom="0" header="0" footer="0"/>
    </customSheetView>
  </customSheetViews>
  <mergeCells count="1">
    <mergeCell ref="C2:E2"/>
  </mergeCells>
  <dataValidations count="1">
    <dataValidation type="decimal" operator="greaterThan" allowBlank="1" showInputMessage="1" showErrorMessage="1" errorTitle="Negative value used" error="Efficiency, displaced GHG intensity and CO2 emitted from waste fossil feedstock carbon values must all be non-negative" sqref="C9:C10" xr:uid="{91D499CD-97D4-4FD6-BBFC-DF7371261433}">
      <formula1>0</formula1>
    </dataValidation>
  </dataValidations>
  <hyperlinks>
    <hyperlink ref="C2:D2" location="'Waste Gasification (+CCS)'!A1" display="Go to the next step of this pathway" xr:uid="{0FD7D1AD-5383-4D94-97BD-453C83FDC9F0}"/>
    <hyperlink ref="C2:E2" location="Generic_Feedstock_Cultivation!A1" display="Go to the next step of this pathway" xr:uid="{D7B4D17C-C340-40AF-98E8-B51FE2300F49}"/>
  </hyperlinks>
  <pageMargins left="0" right="0" top="0" bottom="0" header="0" footer="0"/>
  <extLst>
    <ext xmlns:x14="http://schemas.microsoft.com/office/spreadsheetml/2009/9/main" uri="{78C0D931-6437-407d-A8EE-F0AAD7539E65}">
      <x14:conditionalFormattings>
        <x14:conditionalFormatting xmlns:xm="http://schemas.microsoft.com/office/excel/2006/main">
          <x14:cfRule type="expression" priority="264" id="{35E71349-9231-475F-B526-F1CD290BE13E}">
            <xm:f>AND(Path&lt;&gt;Units!$B$139, Initial_questions!$E$27&lt;&gt;Units!$L$125,Master_Switch="On")</xm:f>
            <x14:dxf>
              <font>
                <color theme="0"/>
              </font>
              <fill>
                <patternFill>
                  <bgColor theme="0"/>
                </patternFill>
              </fill>
              <border>
                <left/>
                <right/>
                <top/>
                <bottom/>
                <vertical/>
                <horizontal/>
              </border>
            </x14:dxf>
          </x14:cfRule>
          <xm:sqref>A2:XFD100</xm:sqref>
        </x14:conditionalFormatting>
      </x14:conditionalFormatting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83424-C4B6-4491-8293-10CC0C9E1234}">
  <sheetPr codeName="Sheet49">
    <tabColor theme="0" tint="-0.34998626667073579"/>
  </sheetPr>
  <dimension ref="A1:AC190"/>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5.26953125" style="12" customWidth="1"/>
    <col min="5" max="5" width="16.453125" style="55"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17.1796875" customWidth="1"/>
    <col min="16" max="16" width="10.54296875" customWidth="1"/>
    <col min="17" max="17" width="18.81640625" style="12" customWidth="1"/>
    <col min="18" max="18" width="17.54296875" style="12" customWidth="1"/>
    <col min="19" max="20" width="20.7265625" style="13" customWidth="1"/>
    <col min="21" max="21" width="22.7265625" style="13" customWidth="1"/>
    <col min="22" max="22" width="20.26953125" style="39" customWidth="1"/>
    <col min="23" max="23" width="7.1796875" style="12" customWidth="1"/>
    <col min="24" max="24" width="26" style="12" customWidth="1"/>
    <col min="26" max="16384" width="7.1796875" style="12"/>
  </cols>
  <sheetData>
    <row r="1" spans="1:29" ht="31.9" customHeight="1">
      <c r="A1" s="80" t="str">
        <f>IF(AND(Path&lt;&gt;Units!$B$139,Master_Switch="On"),"User should not fill in this sheet, but switch to other non-blank GHG worksheets","")</f>
        <v>User should not fill in this sheet, but switch to other non-blank GHG worksheets</v>
      </c>
      <c r="E1" s="256"/>
    </row>
    <row r="2" spans="1:29" ht="20.5" customHeight="1">
      <c r="B2" s="80" t="str">
        <f>IF(AND(Initial_questions!$E$68&lt;&gt;"Cereals and other starch-rich crops", Initial_questions!$E$68&lt;&gt;"Sugar crops", Initial_questions!$E$68&lt;&gt;"Oil crops", Initial_questions!$E$68&lt;&gt;"Other crop/purpose grown feedstock",Master_Switch="On"),"Not a purpose-grown feedstock, move to the next step of the pathway","")</f>
        <v>Not a purpose-grown feedstock, move to the next step of the pathway</v>
      </c>
      <c r="E2" s="256"/>
      <c r="I2" s="729" t="s">
        <v>1093</v>
      </c>
      <c r="J2" s="731"/>
      <c r="K2" s="732"/>
      <c r="L2" s="39"/>
      <c r="M2" s="39"/>
    </row>
    <row r="3" spans="1:29" ht="15" customHeight="1">
      <c r="E3" s="256"/>
    </row>
    <row r="4" spans="1:29" ht="15.65" customHeight="1" thickBot="1">
      <c r="B4" s="3"/>
      <c r="C4" s="3"/>
      <c r="D4" s="3"/>
      <c r="E4" s="455"/>
      <c r="F4" s="3"/>
      <c r="G4" s="3"/>
      <c r="H4" s="1"/>
      <c r="I4" s="1"/>
      <c r="J4" s="1"/>
      <c r="K4" s="1"/>
      <c r="L4" s="1"/>
      <c r="M4" s="1"/>
      <c r="N4" s="37"/>
      <c r="O4" s="1"/>
      <c r="P4" s="1"/>
      <c r="Q4" s="3"/>
      <c r="R4" s="3"/>
      <c r="S4" s="1"/>
      <c r="T4" s="1"/>
      <c r="U4" s="1"/>
      <c r="V4" s="37"/>
      <c r="W4" s="37"/>
      <c r="X4" s="3"/>
    </row>
    <row r="5" spans="1:29"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9" ht="15" thickTop="1">
      <c r="E6" s="457"/>
      <c r="R6"/>
      <c r="S6"/>
      <c r="T6"/>
      <c r="U6"/>
      <c r="V6"/>
    </row>
    <row r="7" spans="1:29">
      <c r="B7" s="145" t="s">
        <v>1097</v>
      </c>
      <c r="C7" s="145"/>
      <c r="D7" s="145"/>
      <c r="E7" s="324"/>
      <c r="F7" s="145"/>
      <c r="G7" s="145"/>
      <c r="H7" s="145"/>
      <c r="I7" s="145"/>
      <c r="J7" s="145"/>
      <c r="K7" s="145"/>
      <c r="L7" s="145"/>
      <c r="M7" s="145"/>
      <c r="N7" s="301"/>
      <c r="R7"/>
      <c r="S7"/>
      <c r="T7"/>
      <c r="U7"/>
      <c r="V7"/>
      <c r="W7" s="19"/>
      <c r="X7" s="19"/>
      <c r="Y7" s="19"/>
      <c r="Z7" s="19"/>
      <c r="AA7" s="19"/>
      <c r="AB7" s="19"/>
      <c r="AC7" s="19"/>
    </row>
    <row r="8" spans="1:29">
      <c r="B8" s="186" t="s">
        <v>1021</v>
      </c>
      <c r="C8" s="184" t="s">
        <v>1098</v>
      </c>
      <c r="D8" s="179" t="s">
        <v>479</v>
      </c>
      <c r="E8" s="35"/>
      <c r="F8" s="24"/>
      <c r="G8" s="21"/>
      <c r="H8" s="20"/>
      <c r="I8" s="36"/>
      <c r="J8" s="300"/>
      <c r="K8" s="302"/>
      <c r="L8" s="302"/>
      <c r="M8" s="302"/>
      <c r="N8" s="242">
        <f t="shared" ref="N8:N17" si="0">IF($D8="MWh/yr (LHV)",$E8,$J8*$E8*(1-$L8)/Conversion_kWh_to_MJ)</f>
        <v>0</v>
      </c>
      <c r="O8" s="12"/>
      <c r="P8" s="12"/>
      <c r="S8" s="35" t="str">
        <f t="shared" ref="S8:S17" si="1">IF(B8="", "", IF(D8="MWh/yr (LHV)", "Use column to right", "Enter data here"))</f>
        <v>Use column to right</v>
      </c>
      <c r="T8" s="35" t="e">
        <f>INDEX(Proj_grid_intensity_kWh,MATCH(Operations_year,Proj_grid_year,0))/Conversion_kWh_to_MJ</f>
        <v>#N/A</v>
      </c>
      <c r="U8" s="35" t="s">
        <v>1064</v>
      </c>
      <c r="V8" s="263" t="str">
        <f t="shared" ref="V8:V17" si="2">IFERROR(IF(D8="tonnes/yr", $S8*$E8/($N$20*3.6), $T8*$E8*3.6/($N$20*3.6)), "Unfilled fields to left")</f>
        <v>Unfilled fields to left</v>
      </c>
      <c r="X8" s="25"/>
      <c r="Y8" s="12"/>
    </row>
    <row r="9" spans="1:29">
      <c r="B9" s="186" t="s">
        <v>1021</v>
      </c>
      <c r="C9" s="184"/>
      <c r="D9" s="179"/>
      <c r="E9" s="35"/>
      <c r="F9" s="24"/>
      <c r="G9" s="21"/>
      <c r="H9" s="20"/>
      <c r="I9" s="36"/>
      <c r="J9" s="300"/>
      <c r="K9" s="302"/>
      <c r="L9" s="302"/>
      <c r="M9" s="302"/>
      <c r="N9" s="242">
        <f t="shared" si="0"/>
        <v>0</v>
      </c>
      <c r="O9" s="12"/>
      <c r="P9" s="12"/>
      <c r="S9" s="35" t="str">
        <f t="shared" si="1"/>
        <v>Enter data here</v>
      </c>
      <c r="T9" s="35" t="str">
        <f t="shared" ref="T9:T17" si="3">IF(B9="", "", IF(D9="MWh/yr (LHV)", "Enter data here", "Use column to left"))</f>
        <v>Use column to left</v>
      </c>
      <c r="U9" s="35" t="s">
        <v>1100</v>
      </c>
      <c r="V9" s="263" t="str">
        <f t="shared" si="2"/>
        <v>Unfilled fields to left</v>
      </c>
      <c r="X9" s="25"/>
      <c r="Y9" s="12"/>
    </row>
    <row r="10" spans="1:29">
      <c r="B10" s="186" t="s">
        <v>1042</v>
      </c>
      <c r="C10" s="184" t="s">
        <v>1043</v>
      </c>
      <c r="D10" s="179" t="s">
        <v>459</v>
      </c>
      <c r="E10" s="35"/>
      <c r="F10" s="24"/>
      <c r="G10" s="21"/>
      <c r="H10" s="20"/>
      <c r="I10" s="36"/>
      <c r="J10" s="300"/>
      <c r="K10" s="302"/>
      <c r="L10" s="302"/>
      <c r="M10" s="302"/>
      <c r="N10" s="242">
        <f t="shared" si="0"/>
        <v>0</v>
      </c>
      <c r="O10" s="12"/>
      <c r="P10" s="12"/>
      <c r="S10" s="35" t="str">
        <f t="shared" si="1"/>
        <v>Enter data here</v>
      </c>
      <c r="T10" s="35" t="str">
        <f t="shared" si="3"/>
        <v>Use column to left</v>
      </c>
      <c r="U10" s="35" t="s">
        <v>1100</v>
      </c>
      <c r="V10" s="263" t="str">
        <f t="shared" si="2"/>
        <v>Unfilled fields to left</v>
      </c>
      <c r="W10" s="91"/>
      <c r="X10" s="25"/>
      <c r="Y10" s="12"/>
    </row>
    <row r="11" spans="1:29">
      <c r="B11" s="186" t="s">
        <v>1042</v>
      </c>
      <c r="C11" s="184" t="s">
        <v>1045</v>
      </c>
      <c r="D11" s="179" t="s">
        <v>459</v>
      </c>
      <c r="E11" s="35"/>
      <c r="F11" s="21"/>
      <c r="G11" s="21"/>
      <c r="H11" s="20"/>
      <c r="I11" s="36"/>
      <c r="J11" s="300"/>
      <c r="K11" s="302"/>
      <c r="L11" s="302"/>
      <c r="M11" s="302"/>
      <c r="N11" s="242">
        <f t="shared" si="0"/>
        <v>0</v>
      </c>
      <c r="O11" s="12"/>
      <c r="P11" s="12"/>
      <c r="S11" s="35" t="str">
        <f t="shared" si="1"/>
        <v>Enter data here</v>
      </c>
      <c r="T11" s="35" t="str">
        <f t="shared" si="3"/>
        <v>Use column to left</v>
      </c>
      <c r="U11" s="35" t="s">
        <v>1100</v>
      </c>
      <c r="V11" s="263" t="str">
        <f t="shared" si="2"/>
        <v>Unfilled fields to left</v>
      </c>
      <c r="X11" s="25"/>
      <c r="Y11" s="12"/>
    </row>
    <row r="12" spans="1:29">
      <c r="B12" s="186" t="s">
        <v>1051</v>
      </c>
      <c r="C12" s="184" t="s">
        <v>1010</v>
      </c>
      <c r="D12" s="179" t="s">
        <v>459</v>
      </c>
      <c r="E12" s="35"/>
      <c r="F12" s="21"/>
      <c r="G12" s="21"/>
      <c r="H12" s="20"/>
      <c r="I12" s="36"/>
      <c r="J12" s="300"/>
      <c r="K12" s="302"/>
      <c r="L12" s="302"/>
      <c r="M12" s="302"/>
      <c r="N12" s="242">
        <f t="shared" si="0"/>
        <v>0</v>
      </c>
      <c r="O12" s="12"/>
      <c r="P12" s="12"/>
      <c r="S12" s="35" t="str">
        <f t="shared" si="1"/>
        <v>Enter data here</v>
      </c>
      <c r="T12" s="35" t="str">
        <f t="shared" si="3"/>
        <v>Use column to left</v>
      </c>
      <c r="U12" s="35" t="s">
        <v>1100</v>
      </c>
      <c r="V12" s="263" t="str">
        <f t="shared" si="2"/>
        <v>Unfilled fields to left</v>
      </c>
      <c r="X12" s="25"/>
      <c r="Y12" s="12"/>
    </row>
    <row r="13" spans="1:29">
      <c r="B13" s="186" t="s">
        <v>1051</v>
      </c>
      <c r="C13" s="184" t="s">
        <v>1101</v>
      </c>
      <c r="D13" s="179" t="s">
        <v>459</v>
      </c>
      <c r="E13" s="35"/>
      <c r="F13" s="21"/>
      <c r="G13" s="21"/>
      <c r="H13" s="20"/>
      <c r="I13" s="36"/>
      <c r="J13" s="300"/>
      <c r="K13" s="302"/>
      <c r="L13" s="302"/>
      <c r="M13" s="302"/>
      <c r="N13" s="242">
        <f t="shared" si="0"/>
        <v>0</v>
      </c>
      <c r="O13" s="12"/>
      <c r="P13" s="12"/>
      <c r="S13" s="35" t="str">
        <f t="shared" si="1"/>
        <v>Enter data here</v>
      </c>
      <c r="T13" s="35" t="str">
        <f t="shared" si="3"/>
        <v>Use column to left</v>
      </c>
      <c r="U13" s="35" t="s">
        <v>1100</v>
      </c>
      <c r="V13" s="263" t="str">
        <f t="shared" si="2"/>
        <v>Unfilled fields to left</v>
      </c>
      <c r="X13" s="25"/>
      <c r="Y13" s="12"/>
    </row>
    <row r="14" spans="1:29">
      <c r="B14" s="186" t="s">
        <v>1177</v>
      </c>
      <c r="C14" s="184" t="s">
        <v>1055</v>
      </c>
      <c r="D14" s="179" t="s">
        <v>459</v>
      </c>
      <c r="E14" s="35"/>
      <c r="F14" s="21"/>
      <c r="G14" s="21"/>
      <c r="H14" s="20"/>
      <c r="I14" s="36"/>
      <c r="J14" s="300"/>
      <c r="K14" s="302"/>
      <c r="L14" s="302"/>
      <c r="M14" s="302"/>
      <c r="N14" s="242">
        <f t="shared" si="0"/>
        <v>0</v>
      </c>
      <c r="O14" s="12"/>
      <c r="P14" s="12"/>
      <c r="S14" s="35" t="str">
        <f t="shared" si="1"/>
        <v>Enter data here</v>
      </c>
      <c r="T14" s="35" t="str">
        <f t="shared" si="3"/>
        <v>Use column to left</v>
      </c>
      <c r="U14" s="35" t="s">
        <v>1100</v>
      </c>
      <c r="V14" s="263" t="str">
        <f t="shared" si="2"/>
        <v>Unfilled fields to left</v>
      </c>
      <c r="X14" s="25"/>
      <c r="Y14" s="12"/>
    </row>
    <row r="15" spans="1:29">
      <c r="B15" s="186" t="s">
        <v>1177</v>
      </c>
      <c r="C15" s="184" t="s">
        <v>1213</v>
      </c>
      <c r="D15" s="179" t="s">
        <v>459</v>
      </c>
      <c r="E15" s="35"/>
      <c r="F15" s="21"/>
      <c r="G15" s="21"/>
      <c r="H15" s="20"/>
      <c r="I15" s="36"/>
      <c r="J15" s="300"/>
      <c r="K15" s="302"/>
      <c r="L15" s="302"/>
      <c r="M15" s="302"/>
      <c r="N15" s="242">
        <f t="shared" si="0"/>
        <v>0</v>
      </c>
      <c r="O15" s="12"/>
      <c r="P15" s="12"/>
      <c r="S15" s="35" t="str">
        <f t="shared" si="1"/>
        <v>Enter data here</v>
      </c>
      <c r="T15" s="35" t="str">
        <f t="shared" si="3"/>
        <v>Use column to left</v>
      </c>
      <c r="U15" s="35" t="s">
        <v>1100</v>
      </c>
      <c r="V15" s="263" t="str">
        <f t="shared" si="2"/>
        <v>Unfilled fields to left</v>
      </c>
      <c r="X15" s="25"/>
      <c r="Y15" s="12"/>
    </row>
    <row r="16" spans="1:29">
      <c r="B16" s="186"/>
      <c r="C16" s="184"/>
      <c r="D16" s="179"/>
      <c r="E16" s="35"/>
      <c r="F16" s="21"/>
      <c r="G16" s="21"/>
      <c r="H16" s="20"/>
      <c r="I16" s="36"/>
      <c r="J16" s="300"/>
      <c r="K16" s="302"/>
      <c r="L16" s="302"/>
      <c r="M16" s="302"/>
      <c r="N16" s="242">
        <f t="shared" si="0"/>
        <v>0</v>
      </c>
      <c r="O16" s="12"/>
      <c r="P16" s="12"/>
      <c r="S16" s="35" t="str">
        <f t="shared" si="1"/>
        <v/>
      </c>
      <c r="T16" s="35" t="str">
        <f t="shared" si="3"/>
        <v/>
      </c>
      <c r="U16" s="35"/>
      <c r="V16" s="263" t="str">
        <f t="shared" si="2"/>
        <v>Unfilled fields to left</v>
      </c>
      <c r="X16" s="25"/>
      <c r="Y16" s="12"/>
    </row>
    <row r="17" spans="2:29">
      <c r="B17" s="16"/>
      <c r="C17" s="15"/>
      <c r="D17" s="179"/>
      <c r="E17" s="35"/>
      <c r="F17" s="21"/>
      <c r="G17" s="21"/>
      <c r="H17" s="20"/>
      <c r="I17" s="36"/>
      <c r="J17" s="300"/>
      <c r="K17" s="302"/>
      <c r="L17" s="302"/>
      <c r="M17" s="302"/>
      <c r="N17" s="242">
        <f t="shared" si="0"/>
        <v>0</v>
      </c>
      <c r="O17" s="12"/>
      <c r="P17" s="12"/>
      <c r="S17" s="35" t="str">
        <f t="shared" si="1"/>
        <v/>
      </c>
      <c r="T17" s="35" t="str">
        <f t="shared" si="3"/>
        <v/>
      </c>
      <c r="U17" s="35"/>
      <c r="V17" s="263" t="str">
        <f t="shared" si="2"/>
        <v>Unfilled fields to left</v>
      </c>
      <c r="X17" s="25"/>
      <c r="Y17" s="12"/>
    </row>
    <row r="18" spans="2:29">
      <c r="C18" s="17"/>
      <c r="D18" s="17"/>
      <c r="E18" s="506"/>
      <c r="F18" s="26"/>
      <c r="G18" s="27"/>
      <c r="H18" s="22"/>
      <c r="I18" s="22"/>
      <c r="J18" s="41"/>
      <c r="K18" s="41"/>
      <c r="L18" s="41"/>
      <c r="M18" s="41"/>
      <c r="N18" s="41"/>
      <c r="O18" s="12"/>
      <c r="P18" s="12"/>
      <c r="S18" s="41"/>
      <c r="T18" s="41"/>
      <c r="U18" s="41"/>
      <c r="V18" s="139"/>
      <c r="X18" s="27"/>
      <c r="Y18" s="12"/>
    </row>
    <row r="19" spans="2:29">
      <c r="B19" s="145" t="s">
        <v>1103</v>
      </c>
      <c r="C19" s="145"/>
      <c r="D19" s="145"/>
      <c r="E19" s="301"/>
      <c r="F19" s="145"/>
      <c r="G19" s="145"/>
      <c r="H19" s="145"/>
      <c r="I19" s="145"/>
      <c r="J19" s="301"/>
      <c r="K19" s="301"/>
      <c r="L19" s="301"/>
      <c r="M19" s="301"/>
      <c r="N19" s="301"/>
      <c r="R19"/>
      <c r="S19" s="40"/>
      <c r="T19" s="40"/>
      <c r="U19" s="40"/>
      <c r="V19" s="140"/>
      <c r="W19" s="19"/>
      <c r="X19" s="19"/>
      <c r="Y19" s="19"/>
      <c r="Z19" s="19"/>
      <c r="AA19" s="19"/>
      <c r="AB19" s="19"/>
      <c r="AC19" s="19"/>
    </row>
    <row r="20" spans="2:29">
      <c r="B20" s="16" t="s">
        <v>1104</v>
      </c>
      <c r="C20" s="184" t="s">
        <v>1214</v>
      </c>
      <c r="D20" s="179" t="s">
        <v>459</v>
      </c>
      <c r="E20" s="35"/>
      <c r="F20" s="24"/>
      <c r="G20" s="21"/>
      <c r="H20" s="21"/>
      <c r="I20" s="21"/>
      <c r="J20" s="300"/>
      <c r="K20" s="306"/>
      <c r="L20" s="306"/>
      <c r="M20" s="306"/>
      <c r="N20" s="242">
        <f t="shared" ref="N20:N32" si="4">IF($D20="MWh/yr (LHV)",$E20,$J20*$E20*(1-$L20)/Conversion_kWh_to_MJ)</f>
        <v>0</v>
      </c>
      <c r="O20" s="246" t="s">
        <v>868</v>
      </c>
      <c r="P20" s="12"/>
      <c r="Q20" s="515">
        <f>IF($D20="MWh/yr (LHV)",$E20,$E20*MAX(0, $J20*(1-$L20)-2.441*$L20)/Conversion_kWh_to_MJ)</f>
        <v>0</v>
      </c>
      <c r="R20" s="245" t="str">
        <f>IFERROR(Q20/(SUM($Q$20:$Q$22)),"")</f>
        <v/>
      </c>
      <c r="S20" s="42"/>
      <c r="T20" s="42"/>
      <c r="U20" s="42"/>
      <c r="V20" s="141"/>
      <c r="X20" s="21"/>
      <c r="Y20" s="12"/>
    </row>
    <row r="21" spans="2:29" s="14" customFormat="1">
      <c r="B21" s="186" t="s">
        <v>1008</v>
      </c>
      <c r="C21" s="184" t="s">
        <v>1106</v>
      </c>
      <c r="D21" s="179" t="s">
        <v>459</v>
      </c>
      <c r="E21" s="35"/>
      <c r="F21" s="21"/>
      <c r="G21" s="21"/>
      <c r="H21" s="20"/>
      <c r="I21" s="33"/>
      <c r="J21" s="300"/>
      <c r="K21" s="302"/>
      <c r="L21" s="302"/>
      <c r="M21" s="302"/>
      <c r="N21" s="242">
        <f t="shared" si="4"/>
        <v>0</v>
      </c>
      <c r="O21" s="12"/>
      <c r="P21" s="12"/>
      <c r="Q21" s="515">
        <f>IF($D21="MWh/yr (LHV)",$E21,$E21*MAX(0, $J21*(1-$L21)-2.441*$L21)/Conversion_kWh_to_MJ)</f>
        <v>0</v>
      </c>
      <c r="R21" s="245" t="str">
        <f t="shared" ref="R21:R22" si="5">IFERROR(Q21/(SUM($Q$20:$Q$22)),"")</f>
        <v/>
      </c>
      <c r="S21" s="42"/>
      <c r="T21" s="42"/>
      <c r="U21" s="107"/>
      <c r="V21" s="12"/>
      <c r="W21" s="23"/>
      <c r="X21" s="21"/>
      <c r="Y21" s="23"/>
      <c r="Z21" s="42"/>
      <c r="AB21" s="12"/>
    </row>
    <row r="22" spans="2:29" s="14" customFormat="1">
      <c r="B22" s="186" t="s">
        <v>1008</v>
      </c>
      <c r="C22" s="184" t="s">
        <v>1107</v>
      </c>
      <c r="D22" s="179" t="s">
        <v>459</v>
      </c>
      <c r="E22" s="35"/>
      <c r="F22" s="21"/>
      <c r="G22" s="21"/>
      <c r="H22" s="20"/>
      <c r="I22" s="20"/>
      <c r="J22" s="302"/>
      <c r="K22" s="302"/>
      <c r="L22" s="302"/>
      <c r="M22" s="302"/>
      <c r="N22" s="242">
        <f t="shared" si="4"/>
        <v>0</v>
      </c>
      <c r="O22" s="12"/>
      <c r="P22" s="12"/>
      <c r="Q22" s="515">
        <f>IF($D22="MWh/yr (LHV)",$E22,$E22*MAX(0, $J22*(1-$L22)-2.441*$L22)/Conversion_kWh_to_MJ)</f>
        <v>0</v>
      </c>
      <c r="R22" s="245" t="str">
        <f t="shared" si="5"/>
        <v/>
      </c>
      <c r="S22" s="42"/>
      <c r="T22" s="42"/>
      <c r="U22" s="107"/>
      <c r="V22" s="12"/>
      <c r="W22" s="23"/>
      <c r="X22" s="21"/>
      <c r="Y22" s="23"/>
      <c r="Z22" s="42"/>
      <c r="AB22" s="12"/>
    </row>
    <row r="23" spans="2:29" s="14" customFormat="1">
      <c r="B23" s="186" t="s">
        <v>1013</v>
      </c>
      <c r="C23" s="184" t="s">
        <v>1108</v>
      </c>
      <c r="D23" s="179" t="s">
        <v>459</v>
      </c>
      <c r="E23" s="35"/>
      <c r="F23" s="21"/>
      <c r="G23" s="21"/>
      <c r="H23" s="20"/>
      <c r="I23" s="20"/>
      <c r="J23" s="302"/>
      <c r="K23" s="302"/>
      <c r="L23" s="302"/>
      <c r="M23" s="302"/>
      <c r="N23" s="242">
        <f t="shared" si="4"/>
        <v>0</v>
      </c>
      <c r="O23" s="12"/>
      <c r="P23" s="12"/>
      <c r="Q23" s="12"/>
      <c r="R23" s="12"/>
      <c r="S23" s="107"/>
      <c r="T23" s="107"/>
      <c r="U23" s="107"/>
      <c r="V23" s="12"/>
      <c r="W23" s="23"/>
      <c r="X23" s="21"/>
      <c r="Y23" s="23"/>
      <c r="Z23" s="42"/>
      <c r="AB23" s="12"/>
    </row>
    <row r="24" spans="2:29" s="14" customFormat="1">
      <c r="B24" s="186" t="s">
        <v>1013</v>
      </c>
      <c r="C24" s="184" t="s">
        <v>1015</v>
      </c>
      <c r="D24" s="179" t="s">
        <v>459</v>
      </c>
      <c r="E24" s="35"/>
      <c r="F24" s="21"/>
      <c r="G24" s="21"/>
      <c r="H24" s="20"/>
      <c r="I24" s="20"/>
      <c r="J24" s="302"/>
      <c r="K24" s="302"/>
      <c r="L24" s="302"/>
      <c r="M24" s="302"/>
      <c r="N24" s="242">
        <f t="shared" si="4"/>
        <v>0</v>
      </c>
      <c r="O24" s="12"/>
      <c r="P24" s="12"/>
      <c r="Q24" s="12"/>
      <c r="R24" s="12"/>
      <c r="S24" s="107"/>
      <c r="T24" s="107"/>
      <c r="U24" s="107"/>
      <c r="V24" s="12"/>
      <c r="W24" s="23"/>
      <c r="X24" s="21"/>
      <c r="Y24" s="23"/>
      <c r="Z24" s="42"/>
      <c r="AB24" s="12"/>
    </row>
    <row r="25" spans="2:29" s="14" customFormat="1">
      <c r="B25" s="186" t="s">
        <v>1016</v>
      </c>
      <c r="C25" s="184" t="s">
        <v>1017</v>
      </c>
      <c r="D25" s="179" t="s">
        <v>459</v>
      </c>
      <c r="E25" s="35"/>
      <c r="F25" s="21"/>
      <c r="G25" s="21"/>
      <c r="H25" s="20"/>
      <c r="I25" s="36"/>
      <c r="J25" s="300"/>
      <c r="K25" s="302"/>
      <c r="L25" s="302"/>
      <c r="M25" s="302"/>
      <c r="N25" s="242">
        <f t="shared" si="4"/>
        <v>0</v>
      </c>
      <c r="O25" s="12"/>
      <c r="P25" s="12"/>
      <c r="Q25" s="12"/>
      <c r="R25" s="12"/>
      <c r="S25" s="107"/>
      <c r="T25" s="107"/>
      <c r="U25" s="107"/>
      <c r="V25" s="12"/>
      <c r="X25" s="21"/>
    </row>
    <row r="26" spans="2:29" s="14" customFormat="1">
      <c r="B26" s="186" t="s">
        <v>1016</v>
      </c>
      <c r="C26" s="184" t="s">
        <v>1018</v>
      </c>
      <c r="D26" s="179" t="s">
        <v>459</v>
      </c>
      <c r="E26" s="35"/>
      <c r="F26" s="21"/>
      <c r="G26" s="21"/>
      <c r="H26" s="20"/>
      <c r="I26" s="36"/>
      <c r="J26" s="300"/>
      <c r="K26" s="302"/>
      <c r="L26" s="302"/>
      <c r="M26" s="302"/>
      <c r="N26" s="242">
        <f t="shared" si="4"/>
        <v>0</v>
      </c>
      <c r="O26" s="12"/>
      <c r="P26" s="12"/>
      <c r="Q26" s="12"/>
      <c r="R26" s="12"/>
      <c r="S26" s="107"/>
      <c r="T26" s="107"/>
      <c r="U26" s="107"/>
      <c r="V26" s="12"/>
      <c r="X26" s="21"/>
    </row>
    <row r="27" spans="2:29" s="14" customFormat="1">
      <c r="B27" s="186" t="s">
        <v>1180</v>
      </c>
      <c r="C27" s="184" t="s">
        <v>1181</v>
      </c>
      <c r="D27" s="179" t="s">
        <v>459</v>
      </c>
      <c r="E27" s="35"/>
      <c r="F27" s="34"/>
      <c r="G27" s="21"/>
      <c r="H27" s="20"/>
      <c r="I27" s="36"/>
      <c r="J27" s="300"/>
      <c r="K27" s="302"/>
      <c r="L27" s="302"/>
      <c r="M27" s="302"/>
      <c r="N27" s="242">
        <f t="shared" si="4"/>
        <v>0</v>
      </c>
      <c r="O27" s="12"/>
      <c r="P27" s="12"/>
      <c r="Q27" s="12"/>
      <c r="R27" s="12"/>
      <c r="S27" s="300">
        <f>1*1000</f>
        <v>1000</v>
      </c>
      <c r="T27" s="477"/>
      <c r="U27" s="35" t="s">
        <v>1059</v>
      </c>
      <c r="V27" s="263" t="str">
        <f t="shared" ref="V27:V32" si="6">IFERROR(IF(D27="tonnes/yr", $S27*$E27/($N$20*3.6), $T27*$E27*3.6/($N$20*3.6)), "Unfilled fields to left")</f>
        <v>Unfilled fields to left</v>
      </c>
      <c r="X27" s="21"/>
    </row>
    <row r="28" spans="2:29" s="14" customFormat="1">
      <c r="B28" s="186" t="s">
        <v>1180</v>
      </c>
      <c r="C28" s="184" t="s">
        <v>1182</v>
      </c>
      <c r="D28" s="179" t="s">
        <v>459</v>
      </c>
      <c r="E28" s="35"/>
      <c r="F28" s="34"/>
      <c r="G28" s="21"/>
      <c r="H28" s="20"/>
      <c r="I28" s="36"/>
      <c r="J28" s="300"/>
      <c r="K28" s="302"/>
      <c r="L28" s="302"/>
      <c r="M28" s="302"/>
      <c r="N28" s="242">
        <f t="shared" si="4"/>
        <v>0</v>
      </c>
      <c r="O28" s="12"/>
      <c r="P28" s="12"/>
      <c r="Q28" s="12"/>
      <c r="R28" s="12"/>
      <c r="S28" s="300">
        <f>1*1000</f>
        <v>1000</v>
      </c>
      <c r="T28" s="477"/>
      <c r="U28" s="35" t="s">
        <v>1059</v>
      </c>
      <c r="V28" s="263" t="str">
        <f t="shared" si="6"/>
        <v>Unfilled fields to left</v>
      </c>
      <c r="X28" s="21"/>
    </row>
    <row r="29" spans="2:29" s="14" customFormat="1">
      <c r="B29" s="186" t="s">
        <v>1113</v>
      </c>
      <c r="C29" s="184" t="s">
        <v>1183</v>
      </c>
      <c r="D29" s="179" t="s">
        <v>459</v>
      </c>
      <c r="E29" s="35"/>
      <c r="F29" s="34"/>
      <c r="G29" s="21"/>
      <c r="H29" s="20"/>
      <c r="I29" s="36"/>
      <c r="J29" s="300"/>
      <c r="K29" s="302"/>
      <c r="L29" s="302"/>
      <c r="M29" s="302"/>
      <c r="N29" s="242">
        <f t="shared" si="4"/>
        <v>0</v>
      </c>
      <c r="O29" s="12"/>
      <c r="P29" s="12"/>
      <c r="Q29" s="12"/>
      <c r="R29" s="12"/>
      <c r="S29" s="300">
        <f>28*1000</f>
        <v>28000</v>
      </c>
      <c r="T29" s="477"/>
      <c r="U29" s="35" t="s">
        <v>1059</v>
      </c>
      <c r="V29" s="263" t="str">
        <f t="shared" si="6"/>
        <v>Unfilled fields to left</v>
      </c>
      <c r="X29" s="21"/>
    </row>
    <row r="30" spans="2:29" s="14" customFormat="1">
      <c r="B30" s="186" t="s">
        <v>1113</v>
      </c>
      <c r="C30" s="184" t="s">
        <v>1075</v>
      </c>
      <c r="D30" s="179" t="s">
        <v>459</v>
      </c>
      <c r="E30" s="35"/>
      <c r="F30" s="34"/>
      <c r="G30" s="21"/>
      <c r="H30" s="20"/>
      <c r="I30" s="36"/>
      <c r="J30" s="300"/>
      <c r="K30" s="302"/>
      <c r="L30" s="302"/>
      <c r="M30" s="302"/>
      <c r="N30" s="242">
        <f t="shared" si="4"/>
        <v>0</v>
      </c>
      <c r="O30" s="12"/>
      <c r="P30" s="12"/>
      <c r="Q30" s="12"/>
      <c r="R30" s="12"/>
      <c r="S30" s="300">
        <v>265000</v>
      </c>
      <c r="T30" s="477"/>
      <c r="U30" s="35" t="s">
        <v>1059</v>
      </c>
      <c r="V30" s="263" t="str">
        <f t="shared" si="6"/>
        <v>Unfilled fields to left</v>
      </c>
      <c r="X30" s="21"/>
    </row>
    <row r="31" spans="2:29" s="14" customFormat="1">
      <c r="B31" s="16"/>
      <c r="C31" s="15"/>
      <c r="D31" s="179"/>
      <c r="E31" s="35"/>
      <c r="F31" s="21"/>
      <c r="G31" s="21"/>
      <c r="H31" s="20"/>
      <c r="I31" s="36"/>
      <c r="J31" s="300"/>
      <c r="K31" s="302"/>
      <c r="L31" s="302"/>
      <c r="M31" s="302"/>
      <c r="N31" s="242">
        <f t="shared" si="4"/>
        <v>0</v>
      </c>
      <c r="O31" s="12"/>
      <c r="P31" s="12"/>
      <c r="Q31" s="12"/>
      <c r="R31" s="12"/>
      <c r="S31" s="300"/>
      <c r="T31" s="477"/>
      <c r="U31" s="302"/>
      <c r="V31" s="263" t="str">
        <f t="shared" si="6"/>
        <v>Unfilled fields to left</v>
      </c>
      <c r="X31" s="21"/>
    </row>
    <row r="32" spans="2:29" s="14" customFormat="1">
      <c r="B32" s="16"/>
      <c r="C32" s="15"/>
      <c r="D32" s="179"/>
      <c r="E32" s="35"/>
      <c r="F32" s="21"/>
      <c r="G32" s="21"/>
      <c r="H32" s="20"/>
      <c r="I32" s="36"/>
      <c r="J32" s="300"/>
      <c r="K32" s="302"/>
      <c r="L32" s="302"/>
      <c r="M32" s="302"/>
      <c r="N32" s="242">
        <f t="shared" si="4"/>
        <v>0</v>
      </c>
      <c r="O32" s="12"/>
      <c r="P32" s="12"/>
      <c r="Q32" s="12"/>
      <c r="R32" s="12"/>
      <c r="S32" s="300"/>
      <c r="T32" s="477"/>
      <c r="U32" s="302"/>
      <c r="V32" s="263" t="str">
        <f t="shared" si="6"/>
        <v>Unfilled fields to left</v>
      </c>
      <c r="X32" s="21"/>
    </row>
    <row r="33" spans="2:25" s="19" customFormat="1">
      <c r="C33" s="17"/>
      <c r="D33" s="17"/>
      <c r="E33" s="140"/>
      <c r="F33" s="17"/>
      <c r="H33" s="18"/>
      <c r="I33" s="18"/>
      <c r="J33" s="40"/>
      <c r="K33" s="40"/>
      <c r="L33" s="40"/>
      <c r="M33" s="40"/>
      <c r="N33" s="39"/>
      <c r="O33" s="12"/>
      <c r="P33" s="12"/>
      <c r="Q33" s="12"/>
      <c r="R33" s="12"/>
      <c r="S33" s="40"/>
      <c r="T33" s="40"/>
      <c r="U33" s="40"/>
      <c r="V33" s="140"/>
    </row>
    <row r="34" spans="2:25" s="19" customFormat="1">
      <c r="B34" s="145" t="s">
        <v>1184</v>
      </c>
      <c r="C34" s="145"/>
      <c r="D34" s="145"/>
      <c r="E34" s="301"/>
      <c r="F34" s="145"/>
      <c r="G34" s="145"/>
      <c r="H34" s="145"/>
      <c r="I34" s="145"/>
      <c r="J34" s="301"/>
      <c r="K34" s="301"/>
      <c r="L34" s="301"/>
      <c r="M34" s="301"/>
      <c r="N34" s="301"/>
      <c r="O34" s="12"/>
      <c r="P34" s="12"/>
      <c r="Q34" s="12"/>
      <c r="R34" s="12"/>
      <c r="S34" s="40"/>
      <c r="T34" s="40"/>
      <c r="U34" s="40"/>
      <c r="V34" s="140"/>
    </row>
    <row r="35" spans="2:25" s="19" customFormat="1">
      <c r="B35" s="186" t="s">
        <v>1185</v>
      </c>
      <c r="C35" s="184" t="s">
        <v>1186</v>
      </c>
      <c r="D35" s="179" t="s">
        <v>459</v>
      </c>
      <c r="E35" s="35" t="e">
        <f>E43/E42*E20</f>
        <v>#DIV/0!</v>
      </c>
      <c r="F35" s="24"/>
      <c r="G35" s="21"/>
      <c r="H35" s="20"/>
      <c r="I35" s="20"/>
      <c r="J35" s="300"/>
      <c r="K35" s="302"/>
      <c r="L35" s="302"/>
      <c r="M35" s="302"/>
      <c r="N35" s="567" t="s">
        <v>868</v>
      </c>
      <c r="O35" s="12"/>
      <c r="P35" s="12"/>
      <c r="Q35" s="12"/>
      <c r="R35" s="12"/>
      <c r="S35" s="300">
        <v>1000</v>
      </c>
      <c r="T35" s="477"/>
      <c r="U35" s="35" t="s">
        <v>1059</v>
      </c>
      <c r="V35" s="263" t="str">
        <f>IFERROR(IF(D35="tonnes/yr", $S35*$E35/($N$20*3.6), $T35*$E35*3.6/($N$20*3.6)), "Unfilled fields to left")</f>
        <v>Unfilled fields to left</v>
      </c>
      <c r="X35" s="24"/>
    </row>
    <row r="36" spans="2:25" s="19" customFormat="1">
      <c r="B36" s="16"/>
      <c r="C36" s="15"/>
      <c r="D36" s="179"/>
      <c r="E36" s="35"/>
      <c r="F36" s="21"/>
      <c r="G36" s="21"/>
      <c r="H36" s="20"/>
      <c r="I36" s="36"/>
      <c r="J36" s="300"/>
      <c r="K36" s="302"/>
      <c r="L36" s="302"/>
      <c r="M36" s="302"/>
      <c r="N36" s="567" t="s">
        <v>868</v>
      </c>
      <c r="O36" s="12"/>
      <c r="P36" s="12"/>
      <c r="Q36" s="12"/>
      <c r="R36" s="12"/>
      <c r="S36" s="302"/>
      <c r="T36" s="516"/>
      <c r="U36" s="302"/>
      <c r="V36" s="263" t="str">
        <f>IFERROR(IF(D36="tonnes/yr", $S36*$E36/($N$20*3.6), $T36*$E36*3.6/($N$20*3.6)), "Unfilled fields to left")</f>
        <v>Unfilled fields to left</v>
      </c>
      <c r="X36" s="25"/>
    </row>
    <row r="37" spans="2:25" s="19" customFormat="1">
      <c r="C37" s="17"/>
      <c r="D37" s="17"/>
      <c r="E37" s="140"/>
      <c r="F37" s="17"/>
      <c r="H37" s="18"/>
      <c r="I37" s="18"/>
      <c r="J37" s="40"/>
      <c r="K37" s="40"/>
      <c r="L37" s="107"/>
      <c r="M37" s="107"/>
      <c r="N37" s="107"/>
      <c r="O37"/>
      <c r="P37"/>
      <c r="Q37" s="12"/>
      <c r="R37" s="12"/>
      <c r="S37" s="40"/>
      <c r="T37" s="40"/>
      <c r="U37" s="40"/>
      <c r="V37" s="140"/>
    </row>
    <row r="38" spans="2:25" s="19" customFormat="1">
      <c r="C38" s="17"/>
      <c r="D38" s="17"/>
      <c r="E38" s="140"/>
      <c r="F38" s="17"/>
      <c r="H38" s="18"/>
      <c r="I38" s="18"/>
      <c r="J38" s="40"/>
      <c r="K38" s="40"/>
      <c r="L38" s="107"/>
      <c r="M38" s="107"/>
      <c r="N38" s="107"/>
      <c r="O38"/>
      <c r="P38"/>
      <c r="Q38" s="12"/>
      <c r="R38" s="12"/>
      <c r="S38" s="40"/>
      <c r="T38" s="40"/>
      <c r="U38" s="40"/>
      <c r="V38" s="140"/>
    </row>
    <row r="39" spans="2:25" s="19" customFormat="1">
      <c r="D39" s="17"/>
      <c r="E39" s="140"/>
      <c r="H39" s="126"/>
      <c r="I39" s="126"/>
      <c r="J39" s="125"/>
      <c r="K39" s="125"/>
      <c r="L39" s="107"/>
      <c r="M39" s="107"/>
      <c r="N39" s="107"/>
      <c r="O39"/>
      <c r="P39"/>
      <c r="Q39" s="12"/>
      <c r="R39" s="12"/>
      <c r="S39" s="125"/>
      <c r="T39" s="125"/>
      <c r="U39" s="38" t="s">
        <v>1114</v>
      </c>
      <c r="V39" s="171">
        <f>SUM(V7:V38)</f>
        <v>0</v>
      </c>
    </row>
    <row r="40" spans="2:25">
      <c r="B40" s="145" t="s">
        <v>132</v>
      </c>
      <c r="C40" s="159"/>
      <c r="D40" s="159"/>
      <c r="E40" s="499"/>
      <c r="I40" s="12"/>
      <c r="J40" s="107"/>
      <c r="K40" s="107"/>
      <c r="L40" s="39"/>
      <c r="M40" s="39"/>
      <c r="S40" s="107"/>
      <c r="T40" s="107"/>
      <c r="U40" s="107"/>
      <c r="V40" s="107"/>
      <c r="Y40" s="12"/>
    </row>
    <row r="41" spans="2:25">
      <c r="B41" s="16" t="s">
        <v>1086</v>
      </c>
      <c r="C41" s="15" t="s">
        <v>1087</v>
      </c>
      <c r="D41" s="15" t="s">
        <v>1088</v>
      </c>
      <c r="E41" s="501"/>
      <c r="G41" s="19"/>
      <c r="H41" s="12"/>
      <c r="I41" s="12"/>
      <c r="J41" s="107"/>
      <c r="K41" s="107"/>
      <c r="L41" s="39"/>
      <c r="M41" s="39"/>
      <c r="S41" s="107"/>
      <c r="T41" s="107"/>
      <c r="U41" s="107"/>
      <c r="V41" s="12"/>
      <c r="X41" s="25"/>
      <c r="Y41" s="12"/>
    </row>
    <row r="42" spans="2:25">
      <c r="B42" s="16" t="s">
        <v>1187</v>
      </c>
      <c r="C42" s="15" t="s">
        <v>1187</v>
      </c>
      <c r="D42" s="15" t="s">
        <v>1188</v>
      </c>
      <c r="E42" s="501"/>
      <c r="H42" s="12"/>
      <c r="I42" s="12"/>
      <c r="J42" s="107"/>
      <c r="K42" s="107"/>
      <c r="L42" s="39"/>
      <c r="M42" s="39"/>
      <c r="S42" s="107"/>
      <c r="T42" s="107"/>
      <c r="U42" s="107"/>
      <c r="V42" s="12"/>
      <c r="X42" s="25"/>
      <c r="Y42" s="12"/>
    </row>
    <row r="43" spans="2:25">
      <c r="B43" s="16" t="s">
        <v>1189</v>
      </c>
      <c r="C43" s="15" t="s">
        <v>1190</v>
      </c>
      <c r="D43" s="15" t="s">
        <v>1191</v>
      </c>
      <c r="E43" s="501"/>
      <c r="J43" s="39"/>
      <c r="K43" s="39"/>
      <c r="L43" s="39"/>
      <c r="M43" s="39"/>
      <c r="S43" s="39"/>
      <c r="T43" s="39"/>
      <c r="U43" s="39"/>
      <c r="V43" s="107"/>
      <c r="X43" s="25"/>
    </row>
    <row r="44" spans="2:25">
      <c r="B44" s="16"/>
      <c r="C44" s="15"/>
      <c r="D44" s="15"/>
      <c r="E44" s="501"/>
      <c r="J44" s="39"/>
      <c r="K44" s="39"/>
      <c r="L44" s="39"/>
      <c r="M44" s="39"/>
      <c r="S44" s="39"/>
      <c r="T44" s="39"/>
      <c r="U44" s="39"/>
      <c r="V44" s="107"/>
      <c r="X44" s="25"/>
    </row>
    <row r="45" spans="2:25">
      <c r="E45" s="107"/>
      <c r="J45" s="39"/>
      <c r="K45" s="39"/>
      <c r="L45" s="39"/>
      <c r="M45" s="39"/>
      <c r="S45" s="39"/>
      <c r="T45" s="39"/>
      <c r="U45" s="39"/>
      <c r="V45" s="107"/>
    </row>
    <row r="46" spans="2:25">
      <c r="E46" s="107"/>
      <c r="J46" s="39"/>
      <c r="K46" s="39"/>
      <c r="L46" s="39"/>
      <c r="M46" s="39"/>
      <c r="S46" s="39"/>
      <c r="T46" s="39"/>
      <c r="U46" s="39"/>
      <c r="V46" s="107"/>
    </row>
    <row r="47" spans="2:25">
      <c r="E47" s="107"/>
      <c r="J47" s="39"/>
      <c r="K47" s="39"/>
      <c r="L47" s="39"/>
      <c r="M47" s="39"/>
      <c r="S47" s="39"/>
      <c r="T47" s="39"/>
      <c r="U47" s="39"/>
      <c r="V47" s="107"/>
    </row>
    <row r="48" spans="2:25">
      <c r="E48" s="107"/>
      <c r="J48" s="39"/>
      <c r="K48" s="39"/>
      <c r="L48" s="39"/>
      <c r="M48" s="39"/>
      <c r="S48" s="39"/>
      <c r="T48" s="39"/>
      <c r="U48" s="39"/>
      <c r="V48" s="107"/>
    </row>
    <row r="49" spans="5:22">
      <c r="E49" s="107"/>
      <c r="J49" s="39"/>
      <c r="K49" s="39"/>
      <c r="L49" s="39"/>
      <c r="M49" s="39"/>
      <c r="S49" s="39"/>
      <c r="T49" s="39"/>
      <c r="U49" s="39"/>
      <c r="V49" s="107"/>
    </row>
    <row r="50" spans="5:22">
      <c r="E50" s="107"/>
      <c r="J50" s="39"/>
      <c r="K50" s="39"/>
      <c r="L50" s="39"/>
      <c r="M50" s="39"/>
      <c r="S50" s="39"/>
      <c r="T50" s="39"/>
      <c r="U50" s="39"/>
      <c r="V50" s="107"/>
    </row>
    <row r="51" spans="5:22">
      <c r="E51" s="107"/>
      <c r="J51" s="39"/>
      <c r="K51" s="39"/>
      <c r="L51" s="39"/>
      <c r="M51" s="39"/>
      <c r="S51" s="39"/>
      <c r="T51" s="39"/>
      <c r="U51" s="39"/>
      <c r="V51" s="107"/>
    </row>
    <row r="52" spans="5:22">
      <c r="E52" s="107"/>
      <c r="J52" s="39"/>
      <c r="K52" s="39"/>
      <c r="L52" s="39"/>
      <c r="M52" s="39"/>
      <c r="S52" s="39"/>
      <c r="T52" s="39"/>
      <c r="U52" s="39"/>
      <c r="V52" s="107"/>
    </row>
    <row r="53" spans="5:22">
      <c r="E53" s="107"/>
      <c r="J53" s="39"/>
      <c r="K53" s="39"/>
      <c r="L53" s="39"/>
      <c r="M53" s="39"/>
      <c r="S53" s="39"/>
      <c r="T53" s="39"/>
      <c r="U53" s="39"/>
      <c r="V53" s="107"/>
    </row>
    <row r="54" spans="5:22">
      <c r="E54" s="107"/>
      <c r="J54" s="39"/>
      <c r="K54" s="39"/>
      <c r="L54" s="39"/>
      <c r="M54" s="39"/>
      <c r="S54" s="39"/>
      <c r="T54" s="39"/>
      <c r="U54" s="39"/>
      <c r="V54" s="107"/>
    </row>
    <row r="55" spans="5:22">
      <c r="E55" s="107"/>
      <c r="J55" s="39"/>
      <c r="K55" s="39"/>
      <c r="L55" s="39"/>
      <c r="M55" s="39"/>
      <c r="S55" s="39"/>
      <c r="T55" s="39"/>
      <c r="U55" s="39"/>
      <c r="V55" s="107"/>
    </row>
    <row r="56" spans="5:22">
      <c r="E56" s="107"/>
      <c r="J56" s="39"/>
      <c r="K56" s="39"/>
      <c r="L56" s="39"/>
      <c r="M56" s="39"/>
      <c r="S56" s="39"/>
      <c r="T56" s="39"/>
      <c r="U56" s="39"/>
      <c r="V56" s="107"/>
    </row>
    <row r="57" spans="5:22">
      <c r="E57" s="107"/>
      <c r="J57" s="39"/>
      <c r="K57" s="39"/>
      <c r="L57" s="39"/>
      <c r="M57" s="39"/>
      <c r="S57" s="39"/>
      <c r="T57" s="39"/>
      <c r="U57" s="39"/>
      <c r="V57" s="107"/>
    </row>
    <row r="58" spans="5:22">
      <c r="E58" s="107"/>
      <c r="J58" s="39"/>
      <c r="K58" s="39"/>
      <c r="L58" s="39"/>
      <c r="M58" s="39"/>
      <c r="S58" s="39"/>
      <c r="T58" s="39"/>
      <c r="U58" s="39"/>
      <c r="V58" s="107"/>
    </row>
    <row r="59" spans="5:22">
      <c r="E59" s="107"/>
      <c r="J59" s="39"/>
      <c r="K59" s="39"/>
      <c r="L59" s="39"/>
      <c r="M59" s="39"/>
      <c r="S59" s="39"/>
      <c r="T59" s="39"/>
      <c r="U59" s="39"/>
      <c r="V59" s="107"/>
    </row>
    <row r="60" spans="5:22">
      <c r="E60" s="107"/>
      <c r="J60" s="39"/>
      <c r="K60" s="39"/>
      <c r="L60" s="39"/>
      <c r="M60" s="39"/>
      <c r="S60" s="39"/>
      <c r="T60" s="39"/>
      <c r="U60" s="39"/>
      <c r="V60" s="107"/>
    </row>
    <row r="61" spans="5:22">
      <c r="E61" s="107"/>
      <c r="J61" s="39"/>
      <c r="K61" s="39"/>
      <c r="L61" s="39"/>
      <c r="M61" s="39"/>
      <c r="S61" s="39"/>
      <c r="T61" s="39"/>
      <c r="U61" s="39"/>
      <c r="V61" s="107"/>
    </row>
    <row r="62" spans="5:22">
      <c r="E62" s="107"/>
      <c r="J62" s="39"/>
      <c r="K62" s="39"/>
      <c r="L62" s="39"/>
      <c r="M62" s="39"/>
      <c r="S62" s="39"/>
      <c r="T62" s="39"/>
      <c r="U62" s="39"/>
      <c r="V62" s="107"/>
    </row>
    <row r="63" spans="5:22">
      <c r="E63" s="107"/>
      <c r="J63" s="39"/>
      <c r="K63" s="39"/>
      <c r="L63" s="39"/>
      <c r="M63" s="39"/>
      <c r="S63" s="39"/>
      <c r="T63" s="39"/>
      <c r="U63" s="39"/>
      <c r="V63" s="107"/>
    </row>
    <row r="64" spans="5:22">
      <c r="E64" s="107"/>
      <c r="J64" s="39"/>
      <c r="K64" s="39"/>
      <c r="L64" s="39"/>
      <c r="M64" s="39"/>
      <c r="S64" s="39"/>
      <c r="T64" s="39"/>
      <c r="U64" s="39"/>
      <c r="V64" s="107"/>
    </row>
    <row r="65" spans="5:22">
      <c r="E65" s="107"/>
      <c r="J65" s="39"/>
      <c r="K65" s="39"/>
      <c r="L65" s="39"/>
      <c r="M65" s="39"/>
      <c r="S65" s="39"/>
      <c r="T65" s="39"/>
      <c r="U65" s="39"/>
      <c r="V65" s="107"/>
    </row>
    <row r="66" spans="5:22">
      <c r="E66" s="107"/>
      <c r="J66" s="39"/>
      <c r="K66" s="39"/>
      <c r="L66" s="39"/>
      <c r="M66" s="39"/>
      <c r="S66" s="39"/>
      <c r="T66" s="39"/>
      <c r="U66" s="39"/>
      <c r="V66" s="107"/>
    </row>
    <row r="67" spans="5:22">
      <c r="E67" s="107"/>
      <c r="J67" s="39"/>
      <c r="K67" s="39"/>
      <c r="L67" s="39"/>
      <c r="M67" s="39"/>
      <c r="S67" s="39"/>
      <c r="T67" s="39"/>
      <c r="U67" s="39"/>
      <c r="V67" s="107"/>
    </row>
    <row r="68" spans="5:22">
      <c r="E68" s="107"/>
      <c r="J68" s="39"/>
      <c r="K68" s="39"/>
      <c r="L68" s="39"/>
      <c r="M68" s="39"/>
      <c r="S68" s="39"/>
      <c r="T68" s="39"/>
      <c r="U68" s="39"/>
      <c r="V68" s="107"/>
    </row>
    <row r="69" spans="5:22">
      <c r="E69" s="107"/>
      <c r="J69" s="39"/>
      <c r="K69" s="39"/>
      <c r="L69" s="39"/>
      <c r="M69" s="39"/>
      <c r="S69" s="39"/>
      <c r="T69" s="39"/>
      <c r="U69" s="39"/>
      <c r="V69" s="107"/>
    </row>
    <row r="70" spans="5:22">
      <c r="E70" s="107"/>
      <c r="J70" s="39"/>
      <c r="K70" s="39"/>
      <c r="L70" s="39"/>
      <c r="M70" s="39"/>
      <c r="S70" s="39"/>
      <c r="T70" s="39"/>
      <c r="U70" s="39"/>
      <c r="V70" s="107"/>
    </row>
    <row r="71" spans="5:22">
      <c r="E71" s="107"/>
      <c r="J71" s="39"/>
      <c r="K71" s="39"/>
      <c r="L71" s="39"/>
      <c r="M71" s="39"/>
      <c r="S71" s="39"/>
      <c r="T71" s="39"/>
      <c r="U71" s="39"/>
      <c r="V71" s="107"/>
    </row>
    <row r="72" spans="5:22">
      <c r="E72" s="107"/>
      <c r="J72" s="39"/>
      <c r="K72" s="39"/>
      <c r="L72" s="39"/>
      <c r="M72" s="39"/>
      <c r="S72" s="39"/>
      <c r="T72" s="39"/>
      <c r="U72" s="39"/>
      <c r="V72" s="107"/>
    </row>
    <row r="73" spans="5:22">
      <c r="E73" s="107"/>
      <c r="J73" s="39"/>
      <c r="K73" s="39"/>
      <c r="L73" s="39"/>
      <c r="M73" s="39"/>
      <c r="S73" s="39"/>
      <c r="T73" s="39"/>
      <c r="U73" s="39"/>
      <c r="V73" s="107"/>
    </row>
    <row r="74" spans="5:22">
      <c r="E74" s="107"/>
      <c r="J74" s="39"/>
      <c r="K74" s="39"/>
      <c r="L74" s="39"/>
      <c r="M74" s="39"/>
      <c r="S74" s="39"/>
      <c r="T74" s="39"/>
      <c r="U74" s="39"/>
      <c r="V74" s="107"/>
    </row>
    <row r="75" spans="5:22">
      <c r="E75" s="107"/>
      <c r="J75" s="39"/>
      <c r="K75" s="39"/>
      <c r="L75" s="39"/>
      <c r="M75" s="39"/>
      <c r="S75" s="39"/>
      <c r="T75" s="39"/>
      <c r="U75" s="39"/>
      <c r="V75" s="107"/>
    </row>
    <row r="76" spans="5:22">
      <c r="E76" s="107"/>
      <c r="J76" s="39"/>
      <c r="K76" s="39"/>
      <c r="L76" s="39"/>
      <c r="M76" s="39"/>
      <c r="S76" s="39"/>
      <c r="T76" s="39"/>
      <c r="U76" s="39"/>
    </row>
    <row r="77" spans="5:22">
      <c r="E77" s="107"/>
      <c r="J77" s="39"/>
      <c r="K77" s="39"/>
      <c r="L77" s="39"/>
      <c r="M77" s="39"/>
      <c r="S77" s="39"/>
      <c r="T77" s="39"/>
      <c r="U77" s="39"/>
    </row>
    <row r="78" spans="5:22">
      <c r="E78" s="107"/>
      <c r="J78" s="39"/>
      <c r="K78" s="39"/>
      <c r="L78" s="39"/>
      <c r="M78" s="39"/>
      <c r="S78" s="39"/>
      <c r="T78" s="39"/>
      <c r="U78" s="39"/>
    </row>
    <row r="79" spans="5:22">
      <c r="E79" s="107"/>
      <c r="J79" s="39"/>
      <c r="K79" s="39"/>
      <c r="L79" s="39"/>
      <c r="M79" s="39"/>
      <c r="S79" s="39"/>
      <c r="T79" s="39"/>
      <c r="U79" s="39"/>
    </row>
    <row r="80" spans="5:22">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L122" s="39"/>
      <c r="M122" s="39"/>
      <c r="S122" s="39"/>
      <c r="T122" s="39"/>
      <c r="U122" s="39"/>
    </row>
    <row r="123" spans="5:21">
      <c r="E123" s="107"/>
      <c r="J123" s="39"/>
      <c r="K123" s="39"/>
      <c r="L123" s="39"/>
      <c r="M123" s="39"/>
      <c r="S123" s="39"/>
      <c r="T123" s="39"/>
      <c r="U123" s="39"/>
    </row>
    <row r="124" spans="5:21">
      <c r="E124" s="107"/>
      <c r="L124" s="39"/>
      <c r="M124" s="39"/>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E148" s="107"/>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row r="190" spans="19:21">
      <c r="S190" s="39"/>
      <c r="T190" s="39"/>
      <c r="U190"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G11"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pane xSplit="3" ySplit="5" topLeftCell="G11"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xWindow="1841" yWindow="627" count="5">
    <dataValidation type="list" allowBlank="1" showInputMessage="1" showErrorMessage="1" sqref="D35:D36 D20:D32 D8:D17" xr:uid="{999D4BA4-8C50-44B4-A0BD-B65BE57788A9}">
      <formula1>Flow_units</formula1>
    </dataValidation>
    <dataValidation type="custom" allowBlank="1" showInputMessage="1" showErrorMessage="1" error="Please do not change this formula" prompt="Please do not change this formula" sqref="W4 V6:V1048576 S5:V5 V1:V4 N20:O20 O21:O1048576 R6:R19 R23:R1048576 O1:R4 P6:Q1048576 O6:O19 N1:N19 N21:N33 N37:N1048576" xr:uid="{1E8513FA-7631-458E-A3B8-AEA1F1A529B2}">
      <formula1>"Please do not change this formula"</formula1>
    </dataValidation>
    <dataValidation type="custom" allowBlank="1" showInputMessage="1" showErrorMessage="1" error="Please do not change" sqref="R20:R22" xr:uid="{7CE52EB8-61B2-4F12-949C-F8A0C7719A98}">
      <formula1>"Please do not change"</formula1>
    </dataValidation>
    <dataValidation type="custom" allowBlank="1" showInputMessage="1" showErrorMessage="1" error="Please do not change this formula" sqref="O5:R5" xr:uid="{85DD9902-36CE-4C00-9773-4C3DC127FC54}">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4" xr:uid="{57C82183-09BB-414F-838F-A50E58ECA297}">
      <formula1>0</formula1>
    </dataValidation>
  </dataValidations>
  <hyperlinks>
    <hyperlink ref="I2:J2" location="'Biomass Transport'!A1" display="Go to the next step of this pathway" xr:uid="{2E325BB5-3E8F-409E-86F2-11F69DB73529}"/>
    <hyperlink ref="I2:K2" location="Generic_Feedstock_Harvesting!A1" display="Go to the next step of this pathway" xr:uid="{CB142AA3-8C5C-4F03-8749-360DACEF0B71}"/>
  </hyperlinks>
  <pageMargins left="0" right="0" top="0" bottom="0" header="0" footer="0"/>
  <pageSetup paperSize="9" orientation="portrait" r:id="rId10"/>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223" id="{6ADE4C2B-A1D5-4CD4-846C-7F5CC811BB1E}">
            <xm:f>AND(Path&lt;&gt;Units!$B$139,Master_Switch="On")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224" id="{1A3BCF23-379C-4467-8F17-DE19BE4B0A35}">
            <xm:f>AND(Initial_questions!$E$68&lt;&gt;"Cereals and other starch-rich crops", Initial_questions!$E$68&lt;&gt;"Sugar crops", Initial_questions!$E$68&lt;&gt;"Oil crops", Initial_questions!$E$68&lt;&gt;"Other crop/purpose grown feedstock",Master_Switch="On")</xm:f>
            <x14:dxf>
              <font>
                <color theme="0"/>
              </font>
              <fill>
                <patternFill>
                  <bgColor theme="0"/>
                </patternFill>
              </fill>
              <border>
                <left/>
                <right/>
                <top/>
                <bottom/>
              </border>
            </x14:dxf>
          </x14:cfRule>
          <xm:sqref>A3:XFD200</xm:sqref>
        </x14:conditionalFormatting>
      </x14:conditionalFormatting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E214E-0BB3-42BC-9F57-F71A377426BB}">
  <sheetPr codeName="Sheet50">
    <tabColor theme="0" tint="-0.34998626667073579"/>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55"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17.1796875" customWidth="1"/>
    <col min="16" max="16" width="10.54296875" customWidth="1"/>
    <col min="17" max="17" width="18.81640625" style="12" customWidth="1"/>
    <col min="18" max="18" width="17.54296875" style="12" customWidth="1"/>
    <col min="19" max="20" width="20.7265625" style="13" customWidth="1"/>
    <col min="21" max="21" width="22.7265625" style="13" customWidth="1"/>
    <col min="22" max="22" width="20.26953125" style="39" customWidth="1"/>
    <col min="23" max="23" width="7.1796875" style="12" customWidth="1"/>
    <col min="24" max="24" width="26" style="12" customWidth="1"/>
    <col min="26" max="16384" width="7.1796875" style="12"/>
  </cols>
  <sheetData>
    <row r="1" spans="1:29" ht="31.9" customHeight="1">
      <c r="A1" s="80" t="str">
        <f>IF(AND(Path&lt;&gt;Units!$B$139,Master_Switch="On"),"User should not fill in this sheet, but switch to other non-blank GHG worksheets","")</f>
        <v>User should not fill in this sheet, but switch to other non-blank GHG worksheets</v>
      </c>
      <c r="E1" s="256"/>
    </row>
    <row r="2" spans="1:29" ht="20.5" customHeight="1">
      <c r="B2" s="80" t="str">
        <f>IF(AND(Initial_questions!$E$68&lt;&gt;"Cereals and other starch-rich crops", Initial_questions!$E$68&lt;&gt;"Sugar crops", Initial_questions!$E$68&lt;&gt;"Oil crops", Initial_questions!$E$68&lt;&gt;"Other crop/purpose grown feedstock",Master_Switch="On"),"Not a purpose-grown feedstock, move to the next step of the pathway","")</f>
        <v>Not a purpose-grown feedstock, move to the next step of the pathway</v>
      </c>
      <c r="E2" s="256"/>
      <c r="I2" s="729" t="s">
        <v>1093</v>
      </c>
      <c r="J2" s="731"/>
      <c r="K2" s="732"/>
      <c r="L2" s="39"/>
      <c r="M2" s="39"/>
    </row>
    <row r="3" spans="1:29" ht="15" customHeight="1">
      <c r="E3" s="256"/>
    </row>
    <row r="4" spans="1:29" ht="15.65" customHeight="1" thickBot="1">
      <c r="B4" s="3"/>
      <c r="C4" s="3"/>
      <c r="D4" s="3"/>
      <c r="E4" s="455"/>
      <c r="F4" s="3"/>
      <c r="G4" s="3"/>
      <c r="H4" s="1"/>
      <c r="I4" s="1"/>
      <c r="J4" s="1"/>
      <c r="K4" s="1"/>
      <c r="L4" s="1"/>
      <c r="M4" s="1"/>
      <c r="N4" s="37"/>
      <c r="O4" s="1"/>
      <c r="P4" s="1"/>
      <c r="Q4" s="3"/>
      <c r="R4" s="3"/>
      <c r="S4" s="1"/>
      <c r="T4" s="1"/>
      <c r="U4" s="1"/>
      <c r="V4" s="37"/>
      <c r="W4" s="37"/>
      <c r="X4" s="3"/>
    </row>
    <row r="5" spans="1:29"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9" ht="15" thickTop="1">
      <c r="E6" s="457"/>
      <c r="R6"/>
      <c r="S6"/>
      <c r="T6"/>
      <c r="U6"/>
      <c r="V6"/>
    </row>
    <row r="7" spans="1:29">
      <c r="B7" s="145" t="s">
        <v>1097</v>
      </c>
      <c r="C7" s="145"/>
      <c r="D7" s="145"/>
      <c r="E7" s="324"/>
      <c r="F7" s="145"/>
      <c r="G7" s="145"/>
      <c r="H7" s="145"/>
      <c r="I7" s="145"/>
      <c r="J7" s="145"/>
      <c r="K7" s="145"/>
      <c r="L7" s="145"/>
      <c r="M7" s="145"/>
      <c r="N7" s="301"/>
      <c r="R7"/>
      <c r="S7"/>
      <c r="T7"/>
      <c r="U7"/>
      <c r="V7"/>
      <c r="W7" s="19"/>
      <c r="X7" s="19"/>
      <c r="Y7" s="19"/>
      <c r="Z7" s="19"/>
      <c r="AA7" s="19"/>
      <c r="AB7" s="19"/>
      <c r="AC7" s="19"/>
    </row>
    <row r="8" spans="1:29">
      <c r="B8" s="16" t="s">
        <v>1115</v>
      </c>
      <c r="C8" s="184" t="s">
        <v>1295</v>
      </c>
      <c r="D8" s="179" t="s">
        <v>459</v>
      </c>
      <c r="E8" s="35"/>
      <c r="F8" s="24"/>
      <c r="G8" s="21"/>
      <c r="H8" s="20"/>
      <c r="I8" s="20"/>
      <c r="J8" s="300"/>
      <c r="K8" s="302"/>
      <c r="L8" s="302"/>
      <c r="M8" s="302"/>
      <c r="N8" s="242">
        <f t="shared" ref="N8:N17" si="0">IF($D8="MWh/yr (LHV)",$E8,$J8*$E8*(1-$L8)/Conversion_kWh_to_MJ)</f>
        <v>0</v>
      </c>
      <c r="O8" s="12"/>
      <c r="P8" s="12"/>
      <c r="S8" s="107"/>
      <c r="T8" s="107"/>
      <c r="U8" s="107"/>
      <c r="V8" s="12"/>
      <c r="X8" s="24"/>
      <c r="Y8" s="12"/>
    </row>
    <row r="9" spans="1:29">
      <c r="B9" s="186" t="s">
        <v>1021</v>
      </c>
      <c r="C9" s="184" t="s">
        <v>1098</v>
      </c>
      <c r="D9" s="179" t="s">
        <v>479</v>
      </c>
      <c r="E9" s="35"/>
      <c r="F9" s="24"/>
      <c r="G9" s="21"/>
      <c r="H9" s="20"/>
      <c r="I9" s="36"/>
      <c r="J9" s="300"/>
      <c r="K9" s="302"/>
      <c r="L9" s="302"/>
      <c r="M9" s="302"/>
      <c r="N9" s="242">
        <f t="shared" si="0"/>
        <v>0</v>
      </c>
      <c r="O9" s="12"/>
      <c r="P9" s="12"/>
      <c r="S9" s="35" t="str">
        <f>IF(B9="", "", IF(D9="MWh/yr (LHV)", "Use column to right", "Enter data here"))</f>
        <v>Use column to right</v>
      </c>
      <c r="T9" s="35" t="e">
        <f>INDEX(Proj_grid_intensity_kWh,MATCH(Operations_year,Proj_grid_year,0))/Conversion_kWh_to_MJ</f>
        <v>#N/A</v>
      </c>
      <c r="U9" s="35" t="s">
        <v>1064</v>
      </c>
      <c r="V9" s="263" t="str">
        <f t="shared" ref="V9:V17" si="1">IFERROR(IF(D9="tonnes/yr", $S9*$E9/($N$20*3.6), $T9*$E9*3.6/($N$20*3.6)), "Unfilled fields to left")</f>
        <v>Unfilled fields to left</v>
      </c>
      <c r="X9" s="25"/>
      <c r="Y9" s="12"/>
    </row>
    <row r="10" spans="1:29">
      <c r="B10" s="186" t="s">
        <v>1021</v>
      </c>
      <c r="C10" s="184"/>
      <c r="D10" s="179"/>
      <c r="E10" s="35"/>
      <c r="F10" s="24"/>
      <c r="G10" s="21"/>
      <c r="H10" s="20"/>
      <c r="I10" s="36"/>
      <c r="J10" s="300"/>
      <c r="K10" s="302"/>
      <c r="L10" s="302"/>
      <c r="M10" s="302"/>
      <c r="N10" s="242">
        <f t="shared" si="0"/>
        <v>0</v>
      </c>
      <c r="O10" s="12"/>
      <c r="P10" s="12"/>
      <c r="S10" s="35" t="str">
        <f>IF(B10="", "", IF(D10="MWh/yr (LHV)", "Use column to right", "Enter data here"))</f>
        <v>Enter data here</v>
      </c>
      <c r="T10" s="35" t="str">
        <f t="shared" ref="T10" si="2">IF(B10="", "", IF(D10="MWh/yr (LHV)", "Enter data here", "Use column to left"))</f>
        <v>Use column to left</v>
      </c>
      <c r="U10" s="35" t="s">
        <v>1100</v>
      </c>
      <c r="V10" s="263" t="str">
        <f t="shared" si="1"/>
        <v>Unfilled fields to left</v>
      </c>
      <c r="X10" s="25"/>
      <c r="Y10" s="12"/>
    </row>
    <row r="11" spans="1:29">
      <c r="B11" s="186" t="s">
        <v>1042</v>
      </c>
      <c r="C11" s="184" t="s">
        <v>1043</v>
      </c>
      <c r="D11" s="179" t="s">
        <v>459</v>
      </c>
      <c r="E11" s="35"/>
      <c r="F11" s="35"/>
      <c r="G11" s="21"/>
      <c r="H11" s="20"/>
      <c r="I11" s="36"/>
      <c r="J11" s="300"/>
      <c r="K11" s="302"/>
      <c r="L11" s="302"/>
      <c r="M11" s="302"/>
      <c r="N11" s="242">
        <f t="shared" si="0"/>
        <v>0</v>
      </c>
      <c r="O11" s="12"/>
      <c r="P11" s="12"/>
      <c r="S11" s="35" t="str">
        <f t="shared" ref="S11:S17" si="3">IF(B11="", "", IF(D11="MWh/yr (LHV)", "Use column to right", "Enter data here"))</f>
        <v>Enter data here</v>
      </c>
      <c r="T11" s="35" t="str">
        <f t="shared" ref="T11:T17" si="4">IF(B11="", "", IF(D11="MWh/yr (LHV)", "Enter data here", "Use column to left"))</f>
        <v>Use column to left</v>
      </c>
      <c r="U11" s="35" t="s">
        <v>1100</v>
      </c>
      <c r="V11" s="263" t="str">
        <f t="shared" si="1"/>
        <v>Unfilled fields to left</v>
      </c>
      <c r="X11" s="25"/>
      <c r="Y11" s="12"/>
    </row>
    <row r="12" spans="1:29">
      <c r="B12" s="186" t="s">
        <v>1042</v>
      </c>
      <c r="C12" s="184" t="s">
        <v>1045</v>
      </c>
      <c r="D12" s="179" t="s">
        <v>459</v>
      </c>
      <c r="E12" s="35"/>
      <c r="F12" s="21"/>
      <c r="G12" s="21"/>
      <c r="H12" s="20"/>
      <c r="I12" s="36"/>
      <c r="J12" s="300"/>
      <c r="K12" s="302"/>
      <c r="L12" s="302"/>
      <c r="M12" s="302"/>
      <c r="N12" s="242">
        <f t="shared" si="0"/>
        <v>0</v>
      </c>
      <c r="O12" s="12"/>
      <c r="P12" s="12"/>
      <c r="S12" s="35" t="str">
        <f t="shared" si="3"/>
        <v>Enter data here</v>
      </c>
      <c r="T12" s="35" t="str">
        <f t="shared" si="4"/>
        <v>Use column to left</v>
      </c>
      <c r="U12" s="35" t="s">
        <v>1100</v>
      </c>
      <c r="V12" s="263" t="str">
        <f t="shared" si="1"/>
        <v>Unfilled fields to left</v>
      </c>
      <c r="X12" s="25"/>
      <c r="Y12" s="12"/>
    </row>
    <row r="13" spans="1:29">
      <c r="B13" s="186" t="s">
        <v>1051</v>
      </c>
      <c r="C13" s="184" t="s">
        <v>1010</v>
      </c>
      <c r="D13" s="179" t="s">
        <v>459</v>
      </c>
      <c r="E13" s="35"/>
      <c r="F13" s="21"/>
      <c r="G13" s="21"/>
      <c r="H13" s="20"/>
      <c r="I13" s="36"/>
      <c r="J13" s="300"/>
      <c r="K13" s="302"/>
      <c r="L13" s="302"/>
      <c r="M13" s="302"/>
      <c r="N13" s="242">
        <f t="shared" si="0"/>
        <v>0</v>
      </c>
      <c r="O13" s="12"/>
      <c r="P13" s="12"/>
      <c r="S13" s="35" t="str">
        <f t="shared" si="3"/>
        <v>Enter data here</v>
      </c>
      <c r="T13" s="35" t="str">
        <f t="shared" si="4"/>
        <v>Use column to left</v>
      </c>
      <c r="U13" s="35" t="s">
        <v>1100</v>
      </c>
      <c r="V13" s="263" t="str">
        <f t="shared" si="1"/>
        <v>Unfilled fields to left</v>
      </c>
      <c r="X13" s="25"/>
      <c r="Y13" s="12"/>
    </row>
    <row r="14" spans="1:29">
      <c r="B14" s="186" t="s">
        <v>1051</v>
      </c>
      <c r="C14" s="184" t="s">
        <v>1101</v>
      </c>
      <c r="D14" s="179" t="s">
        <v>459</v>
      </c>
      <c r="E14" s="35"/>
      <c r="F14" s="21"/>
      <c r="G14" s="21"/>
      <c r="H14" s="20"/>
      <c r="I14" s="36"/>
      <c r="J14" s="300"/>
      <c r="K14" s="302"/>
      <c r="L14" s="302"/>
      <c r="M14" s="302"/>
      <c r="N14" s="242">
        <f t="shared" si="0"/>
        <v>0</v>
      </c>
      <c r="O14" s="12"/>
      <c r="P14" s="12"/>
      <c r="S14" s="35" t="str">
        <f t="shared" si="3"/>
        <v>Enter data here</v>
      </c>
      <c r="T14" s="35" t="str">
        <f t="shared" si="4"/>
        <v>Use column to left</v>
      </c>
      <c r="U14" s="35" t="s">
        <v>1100</v>
      </c>
      <c r="V14" s="263" t="str">
        <f t="shared" si="1"/>
        <v>Unfilled fields to left</v>
      </c>
      <c r="X14" s="25"/>
      <c r="Y14" s="12"/>
    </row>
    <row r="15" spans="1:29">
      <c r="B15" s="186" t="s">
        <v>1177</v>
      </c>
      <c r="C15" s="184" t="s">
        <v>1055</v>
      </c>
      <c r="D15" s="179" t="s">
        <v>459</v>
      </c>
      <c r="E15" s="35"/>
      <c r="F15" s="21"/>
      <c r="G15" s="21"/>
      <c r="H15" s="20"/>
      <c r="I15" s="36"/>
      <c r="J15" s="300"/>
      <c r="K15" s="302"/>
      <c r="L15" s="302"/>
      <c r="M15" s="302"/>
      <c r="N15" s="242">
        <f t="shared" si="0"/>
        <v>0</v>
      </c>
      <c r="O15" s="12"/>
      <c r="P15" s="12"/>
      <c r="S15" s="35" t="str">
        <f t="shared" si="3"/>
        <v>Enter data here</v>
      </c>
      <c r="T15" s="35" t="str">
        <f t="shared" si="4"/>
        <v>Use column to left</v>
      </c>
      <c r="U15" s="35" t="s">
        <v>1100</v>
      </c>
      <c r="V15" s="263" t="str">
        <f t="shared" si="1"/>
        <v>Unfilled fields to left</v>
      </c>
      <c r="X15" s="25"/>
      <c r="Y15" s="12"/>
    </row>
    <row r="16" spans="1:29">
      <c r="B16" s="186" t="s">
        <v>1177</v>
      </c>
      <c r="C16" s="184" t="s">
        <v>1213</v>
      </c>
      <c r="D16" s="179" t="s">
        <v>459</v>
      </c>
      <c r="E16" s="35"/>
      <c r="F16" s="21"/>
      <c r="G16" s="21"/>
      <c r="H16" s="20"/>
      <c r="I16" s="36"/>
      <c r="J16" s="300"/>
      <c r="K16" s="302"/>
      <c r="L16" s="302"/>
      <c r="M16" s="302"/>
      <c r="N16" s="242">
        <f t="shared" si="0"/>
        <v>0</v>
      </c>
      <c r="O16" s="12"/>
      <c r="P16" s="12"/>
      <c r="S16" s="35" t="str">
        <f t="shared" si="3"/>
        <v>Enter data here</v>
      </c>
      <c r="T16" s="35" t="str">
        <f t="shared" si="4"/>
        <v>Use column to left</v>
      </c>
      <c r="U16" s="35" t="s">
        <v>1100</v>
      </c>
      <c r="V16" s="263" t="str">
        <f t="shared" si="1"/>
        <v>Unfilled fields to left</v>
      </c>
      <c r="X16" s="25"/>
      <c r="Y16" s="12"/>
    </row>
    <row r="17" spans="2:29">
      <c r="B17" s="16"/>
      <c r="C17" s="15"/>
      <c r="D17" s="179"/>
      <c r="E17" s="35"/>
      <c r="F17" s="21"/>
      <c r="G17" s="21"/>
      <c r="H17" s="20"/>
      <c r="I17" s="36"/>
      <c r="J17" s="300"/>
      <c r="K17" s="302"/>
      <c r="L17" s="302"/>
      <c r="M17" s="302"/>
      <c r="N17" s="242">
        <f t="shared" si="0"/>
        <v>0</v>
      </c>
      <c r="O17" s="12"/>
      <c r="P17" s="12"/>
      <c r="S17" s="35" t="str">
        <f t="shared" si="3"/>
        <v/>
      </c>
      <c r="T17" s="35" t="str">
        <f t="shared" si="4"/>
        <v/>
      </c>
      <c r="U17" s="35"/>
      <c r="V17" s="263" t="str">
        <f t="shared" si="1"/>
        <v>Unfilled fields to left</v>
      </c>
      <c r="X17" s="25"/>
      <c r="Y17" s="12"/>
    </row>
    <row r="18" spans="2:29">
      <c r="C18" s="17"/>
      <c r="D18" s="17"/>
      <c r="E18" s="506"/>
      <c r="F18" s="26"/>
      <c r="G18" s="27"/>
      <c r="H18" s="22"/>
      <c r="I18" s="22"/>
      <c r="J18" s="41"/>
      <c r="K18" s="41"/>
      <c r="L18" s="41"/>
      <c r="M18" s="41"/>
      <c r="N18" s="41"/>
      <c r="O18" s="12"/>
      <c r="P18" s="12"/>
      <c r="S18" s="41"/>
      <c r="T18" s="41"/>
      <c r="U18" s="41"/>
      <c r="V18" s="139"/>
      <c r="X18" s="27"/>
      <c r="Y18" s="12"/>
    </row>
    <row r="19" spans="2:29">
      <c r="B19" s="145" t="s">
        <v>1103</v>
      </c>
      <c r="C19" s="145"/>
      <c r="D19" s="145"/>
      <c r="E19" s="301"/>
      <c r="F19" s="145"/>
      <c r="G19" s="145"/>
      <c r="H19" s="145"/>
      <c r="I19" s="145"/>
      <c r="J19" s="301"/>
      <c r="K19" s="301"/>
      <c r="L19" s="301"/>
      <c r="M19" s="301"/>
      <c r="N19" s="301"/>
      <c r="R19"/>
      <c r="S19" s="40"/>
      <c r="T19" s="40"/>
      <c r="U19" s="40"/>
      <c r="V19" s="140"/>
      <c r="W19" s="19"/>
      <c r="X19" s="19"/>
      <c r="Y19" s="19"/>
      <c r="Z19" s="19"/>
      <c r="AA19" s="19"/>
      <c r="AB19" s="19"/>
      <c r="AC19" s="19"/>
    </row>
    <row r="20" spans="2:29">
      <c r="B20" s="16" t="s">
        <v>1104</v>
      </c>
      <c r="C20" s="184" t="s">
        <v>1295</v>
      </c>
      <c r="D20" s="179" t="s">
        <v>459</v>
      </c>
      <c r="E20" s="35"/>
      <c r="F20" s="21"/>
      <c r="G20" s="21"/>
      <c r="H20" s="21"/>
      <c r="I20" s="21"/>
      <c r="J20" s="300"/>
      <c r="K20" s="306"/>
      <c r="L20" s="306"/>
      <c r="M20" s="306"/>
      <c r="N20" s="242">
        <f t="shared" ref="N20:N31" si="5">IF($D20="MWh/yr (LHV)",$E20,$J20*$E20*(1-$L20)/Conversion_kWh_to_MJ)</f>
        <v>0</v>
      </c>
      <c r="O20" s="246" t="str">
        <f>IFERROR(N20/N8,"")</f>
        <v/>
      </c>
      <c r="P20" s="12"/>
      <c r="Q20" s="515">
        <f>IF($D20="MWh/yr (LHV)",$E20,$E20*MAX(0, $J20*(1-$L20)-2.441*$L20)/Conversion_kWh_to_MJ)</f>
        <v>0</v>
      </c>
      <c r="R20" s="245" t="str">
        <f>IFERROR(Q20/(SUM($Q$20:$Q$22)),"")</f>
        <v/>
      </c>
      <c r="S20" s="42"/>
      <c r="T20" s="42"/>
      <c r="U20" s="42"/>
      <c r="V20" s="141"/>
      <c r="X20" s="21"/>
      <c r="Y20" s="12"/>
    </row>
    <row r="21" spans="2:29" s="14" customFormat="1">
      <c r="B21" s="186" t="s">
        <v>1008</v>
      </c>
      <c r="C21" s="184" t="s">
        <v>1106</v>
      </c>
      <c r="D21" s="179" t="s">
        <v>459</v>
      </c>
      <c r="E21" s="35"/>
      <c r="F21" s="21"/>
      <c r="G21" s="21"/>
      <c r="H21" s="20"/>
      <c r="I21" s="33"/>
      <c r="J21" s="300"/>
      <c r="K21" s="302"/>
      <c r="L21" s="302"/>
      <c r="M21" s="302"/>
      <c r="N21" s="242">
        <f t="shared" si="5"/>
        <v>0</v>
      </c>
      <c r="O21" s="12"/>
      <c r="P21" s="12"/>
      <c r="Q21" s="515">
        <f>IF($D21="MWh/yr (LHV)",$E21,$E21*MAX(0, $J21*(1-$L21)-2.441*$L21)/Conversion_kWh_to_MJ)</f>
        <v>0</v>
      </c>
      <c r="R21" s="245" t="str">
        <f t="shared" ref="R21:R22" si="6">IFERROR(Q21/(SUM($Q$20:$Q$22)),"")</f>
        <v/>
      </c>
      <c r="S21" s="42"/>
      <c r="T21" s="42"/>
      <c r="U21" s="107"/>
      <c r="V21" s="12"/>
      <c r="W21" s="23"/>
      <c r="X21" s="21"/>
      <c r="Y21" s="23"/>
      <c r="Z21" s="42"/>
      <c r="AB21" s="12"/>
    </row>
    <row r="22" spans="2:29" s="14" customFormat="1">
      <c r="B22" s="186" t="s">
        <v>1008</v>
      </c>
      <c r="C22" s="184" t="s">
        <v>1107</v>
      </c>
      <c r="D22" s="179" t="s">
        <v>459</v>
      </c>
      <c r="E22" s="35"/>
      <c r="F22" s="21"/>
      <c r="G22" s="21"/>
      <c r="H22" s="20"/>
      <c r="I22" s="20"/>
      <c r="J22" s="302"/>
      <c r="K22" s="302"/>
      <c r="L22" s="302"/>
      <c r="M22" s="302"/>
      <c r="N22" s="242">
        <f t="shared" si="5"/>
        <v>0</v>
      </c>
      <c r="O22" s="12"/>
      <c r="P22" s="12"/>
      <c r="Q22" s="515">
        <f>IF($D22="MWh/yr (LHV)",$E22,$E22*MAX(0, $J22*(1-$L22)-2.441*$L22)/Conversion_kWh_to_MJ)</f>
        <v>0</v>
      </c>
      <c r="R22" s="245" t="str">
        <f t="shared" si="6"/>
        <v/>
      </c>
      <c r="S22" s="42"/>
      <c r="T22" s="42"/>
      <c r="U22" s="107"/>
      <c r="V22" s="12"/>
      <c r="W22" s="23"/>
      <c r="X22" s="21"/>
      <c r="Y22" s="23"/>
      <c r="Z22" s="42"/>
      <c r="AB22" s="12"/>
    </row>
    <row r="23" spans="2:29" s="14" customFormat="1">
      <c r="B23" s="186" t="s">
        <v>1013</v>
      </c>
      <c r="C23" s="184" t="s">
        <v>1108</v>
      </c>
      <c r="D23" s="179" t="s">
        <v>459</v>
      </c>
      <c r="E23" s="35"/>
      <c r="F23" s="21"/>
      <c r="G23" s="21"/>
      <c r="H23" s="20"/>
      <c r="I23" s="20"/>
      <c r="J23" s="302"/>
      <c r="K23" s="302"/>
      <c r="L23" s="302"/>
      <c r="M23" s="302"/>
      <c r="N23" s="242">
        <f t="shared" si="5"/>
        <v>0</v>
      </c>
      <c r="O23" s="12"/>
      <c r="P23" s="12"/>
      <c r="Q23" s="12"/>
      <c r="R23" s="12"/>
      <c r="S23" s="107"/>
      <c r="T23" s="107"/>
      <c r="U23" s="107"/>
      <c r="V23" s="12"/>
      <c r="W23" s="23"/>
      <c r="X23" s="21"/>
      <c r="Y23" s="23"/>
      <c r="Z23" s="42"/>
      <c r="AB23" s="12"/>
    </row>
    <row r="24" spans="2:29" s="14" customFormat="1">
      <c r="B24" s="186" t="s">
        <v>1013</v>
      </c>
      <c r="C24" s="184" t="s">
        <v>1015</v>
      </c>
      <c r="D24" s="179" t="s">
        <v>459</v>
      </c>
      <c r="E24" s="35"/>
      <c r="F24" s="21"/>
      <c r="G24" s="21"/>
      <c r="H24" s="20"/>
      <c r="I24" s="20"/>
      <c r="J24" s="302"/>
      <c r="K24" s="302"/>
      <c r="L24" s="302"/>
      <c r="M24" s="302"/>
      <c r="N24" s="242">
        <f t="shared" si="5"/>
        <v>0</v>
      </c>
      <c r="O24" s="12"/>
      <c r="P24" s="12"/>
      <c r="Q24" s="12"/>
      <c r="R24" s="12"/>
      <c r="S24" s="107"/>
      <c r="T24" s="107"/>
      <c r="U24" s="107"/>
      <c r="V24" s="12"/>
      <c r="W24" s="23"/>
      <c r="X24" s="21"/>
      <c r="Y24" s="23"/>
      <c r="Z24" s="42"/>
      <c r="AB24" s="12"/>
    </row>
    <row r="25" spans="2:29" s="14" customFormat="1">
      <c r="B25" s="186" t="s">
        <v>1016</v>
      </c>
      <c r="C25" s="184" t="s">
        <v>1017</v>
      </c>
      <c r="D25" s="179" t="s">
        <v>459</v>
      </c>
      <c r="E25" s="35"/>
      <c r="F25" s="21"/>
      <c r="G25" s="21"/>
      <c r="H25" s="20"/>
      <c r="I25" s="36"/>
      <c r="J25" s="300"/>
      <c r="K25" s="302"/>
      <c r="L25" s="302"/>
      <c r="M25" s="302"/>
      <c r="N25" s="242">
        <f t="shared" si="5"/>
        <v>0</v>
      </c>
      <c r="O25" s="12"/>
      <c r="P25" s="12"/>
      <c r="Q25" s="12"/>
      <c r="R25" s="12"/>
      <c r="S25" s="107"/>
      <c r="T25" s="107"/>
      <c r="U25" s="107"/>
      <c r="V25" s="12"/>
      <c r="X25" s="21"/>
    </row>
    <row r="26" spans="2:29" s="14" customFormat="1">
      <c r="B26" s="186" t="s">
        <v>1016</v>
      </c>
      <c r="C26" s="184" t="s">
        <v>1018</v>
      </c>
      <c r="D26" s="179" t="s">
        <v>459</v>
      </c>
      <c r="E26" s="35"/>
      <c r="F26" s="21"/>
      <c r="G26" s="21"/>
      <c r="H26" s="20"/>
      <c r="I26" s="36"/>
      <c r="J26" s="300"/>
      <c r="K26" s="302"/>
      <c r="L26" s="302"/>
      <c r="M26" s="302"/>
      <c r="N26" s="242">
        <f t="shared" si="5"/>
        <v>0</v>
      </c>
      <c r="O26" s="12"/>
      <c r="P26" s="12"/>
      <c r="Q26" s="12"/>
      <c r="R26" s="12"/>
      <c r="S26" s="107"/>
      <c r="T26" s="107"/>
      <c r="U26" s="107"/>
      <c r="V26" s="12"/>
      <c r="X26" s="21"/>
    </row>
    <row r="27" spans="2:29" s="14" customFormat="1">
      <c r="B27" s="186" t="s">
        <v>1057</v>
      </c>
      <c r="C27" s="184" t="s">
        <v>1182</v>
      </c>
      <c r="D27" s="179" t="s">
        <v>459</v>
      </c>
      <c r="E27" s="35"/>
      <c r="F27" s="34"/>
      <c r="G27" s="21"/>
      <c r="H27" s="20"/>
      <c r="I27" s="36"/>
      <c r="J27" s="300"/>
      <c r="K27" s="302"/>
      <c r="L27" s="302"/>
      <c r="M27" s="302"/>
      <c r="N27" s="242">
        <f t="shared" si="5"/>
        <v>0</v>
      </c>
      <c r="O27" s="12"/>
      <c r="P27" s="12"/>
      <c r="Q27" s="12"/>
      <c r="R27" s="12"/>
      <c r="S27" s="35">
        <v>1000</v>
      </c>
      <c r="T27" s="518"/>
      <c r="U27" s="35" t="s">
        <v>1118</v>
      </c>
      <c r="V27" s="263" t="str">
        <f>IFERROR(IF(D27="tonnes/yr", $S27*$E27/($N$20*3.6), $T27*$E27*3.6/($N$20*3.6)), "Unfilled fields to left")</f>
        <v>Unfilled fields to left</v>
      </c>
      <c r="X27" s="21"/>
    </row>
    <row r="28" spans="2:29" s="14" customFormat="1">
      <c r="B28" s="186" t="s">
        <v>1113</v>
      </c>
      <c r="C28" s="184" t="s">
        <v>1073</v>
      </c>
      <c r="D28" s="179" t="s">
        <v>459</v>
      </c>
      <c r="E28" s="35"/>
      <c r="F28" s="34"/>
      <c r="G28" s="21"/>
      <c r="H28" s="20"/>
      <c r="I28" s="36"/>
      <c r="J28" s="300"/>
      <c r="K28" s="302"/>
      <c r="L28" s="302"/>
      <c r="M28" s="302"/>
      <c r="N28" s="242">
        <f t="shared" si="5"/>
        <v>0</v>
      </c>
      <c r="O28" s="12"/>
      <c r="P28" s="12"/>
      <c r="Q28" s="12"/>
      <c r="R28" s="12"/>
      <c r="S28" s="35">
        <v>28000</v>
      </c>
      <c r="T28" s="518"/>
      <c r="U28" s="35" t="s">
        <v>1059</v>
      </c>
      <c r="V28" s="263" t="str">
        <f>IFERROR(IF(D28="tonnes/yr", $S28*$E28/($N$20*3.6), $T28*$E28*3.6/($N$20*3.6)), "Unfilled fields to left")</f>
        <v>Unfilled fields to left</v>
      </c>
      <c r="X28" s="21"/>
    </row>
    <row r="29" spans="2:29" s="14" customFormat="1">
      <c r="B29" s="186" t="s">
        <v>1113</v>
      </c>
      <c r="C29" s="184" t="s">
        <v>1075</v>
      </c>
      <c r="D29" s="179" t="s">
        <v>459</v>
      </c>
      <c r="E29" s="35"/>
      <c r="F29" s="24"/>
      <c r="G29" s="21"/>
      <c r="H29" s="20"/>
      <c r="I29" s="36"/>
      <c r="J29" s="300"/>
      <c r="K29" s="302"/>
      <c r="L29" s="302"/>
      <c r="M29" s="302"/>
      <c r="N29" s="242">
        <f t="shared" si="5"/>
        <v>0</v>
      </c>
      <c r="O29" s="12"/>
      <c r="P29" s="12"/>
      <c r="Q29" s="12"/>
      <c r="R29" s="12"/>
      <c r="S29" s="35">
        <v>265000</v>
      </c>
      <c r="T29" s="518"/>
      <c r="U29" s="35" t="s">
        <v>1059</v>
      </c>
      <c r="V29" s="263" t="str">
        <f>IFERROR(IF(D29="tonnes/yr", $S29*$E29/($N$20*3.6), $T29*$E29*3.6/($N$20*3.6)), "Unfilled fields to left")</f>
        <v>Unfilled fields to left</v>
      </c>
      <c r="X29" s="21"/>
    </row>
    <row r="30" spans="2:29" s="14" customFormat="1">
      <c r="B30" s="16"/>
      <c r="C30" s="15"/>
      <c r="D30" s="179"/>
      <c r="E30" s="35"/>
      <c r="F30" s="21"/>
      <c r="G30" s="21"/>
      <c r="H30" s="20"/>
      <c r="I30" s="36"/>
      <c r="J30" s="300"/>
      <c r="K30" s="302"/>
      <c r="L30" s="302"/>
      <c r="M30" s="302"/>
      <c r="N30" s="242">
        <f t="shared" si="5"/>
        <v>0</v>
      </c>
      <c r="O30" s="12"/>
      <c r="P30" s="12"/>
      <c r="Q30" s="12"/>
      <c r="R30" s="12"/>
      <c r="S30" s="300"/>
      <c r="T30" s="477"/>
      <c r="U30" s="302"/>
      <c r="V30" s="263" t="str">
        <f>IFERROR(IF(D30="tonnes/yr", $S30*$E30/($N$20*3.6), $T30*$E30*3.6/($N$20*3.6)), "Unfilled fields to left")</f>
        <v>Unfilled fields to left</v>
      </c>
      <c r="X30" s="21"/>
    </row>
    <row r="31" spans="2:29" s="14" customFormat="1">
      <c r="B31" s="16"/>
      <c r="C31" s="15"/>
      <c r="D31" s="179"/>
      <c r="E31" s="35"/>
      <c r="F31" s="21"/>
      <c r="G31" s="21"/>
      <c r="H31" s="20"/>
      <c r="I31" s="36"/>
      <c r="J31" s="300"/>
      <c r="K31" s="302"/>
      <c r="L31" s="302"/>
      <c r="M31" s="302"/>
      <c r="N31" s="242">
        <f t="shared" si="5"/>
        <v>0</v>
      </c>
      <c r="O31" s="12"/>
      <c r="P31" s="12"/>
      <c r="Q31" s="12"/>
      <c r="R31" s="12"/>
      <c r="S31" s="300"/>
      <c r="T31" s="477"/>
      <c r="U31" s="302"/>
      <c r="V31" s="263" t="str">
        <f>IFERROR(IF(D31="tonnes/yr", $S31*$E31/($N$20*3.6), $T31*$E31*3.6/($N$20*3.6)), "Unfilled fields to left")</f>
        <v>Unfilled fields to left</v>
      </c>
      <c r="X31" s="21"/>
    </row>
    <row r="32" spans="2:29">
      <c r="C32" s="17"/>
      <c r="D32" s="17"/>
      <c r="E32" s="140"/>
      <c r="F32" s="17"/>
      <c r="H32" s="18"/>
      <c r="I32" s="18"/>
      <c r="J32" s="40"/>
      <c r="K32" s="40"/>
      <c r="L32" s="40"/>
      <c r="M32" s="40"/>
      <c r="O32" s="12"/>
      <c r="P32" s="12"/>
      <c r="S32" s="40"/>
      <c r="T32" s="40"/>
      <c r="U32" s="40"/>
      <c r="V32" s="140"/>
      <c r="Y32" s="12"/>
    </row>
    <row r="33" spans="2:25">
      <c r="D33" s="17"/>
      <c r="E33" s="140"/>
      <c r="J33" s="39"/>
      <c r="K33" s="39"/>
      <c r="L33" s="40"/>
      <c r="M33" s="40"/>
      <c r="O33" s="12"/>
      <c r="P33" s="12"/>
      <c r="S33" s="39"/>
      <c r="T33" s="39"/>
      <c r="U33" s="38" t="s">
        <v>1114</v>
      </c>
      <c r="V33" s="171">
        <f>SUM(V7:V32)</f>
        <v>0</v>
      </c>
      <c r="Y33" s="12"/>
    </row>
    <row r="34" spans="2:25">
      <c r="B34" s="145" t="s">
        <v>132</v>
      </c>
      <c r="C34" s="159"/>
      <c r="D34" s="159"/>
      <c r="E34" s="499"/>
      <c r="I34" s="12"/>
      <c r="J34" s="107"/>
      <c r="K34" s="107"/>
      <c r="L34" s="40"/>
      <c r="M34" s="40"/>
      <c r="O34" s="12"/>
      <c r="P34" s="12"/>
      <c r="S34" s="107"/>
      <c r="T34" s="107"/>
      <c r="U34" s="107"/>
      <c r="V34" s="107"/>
      <c r="Y34" s="12"/>
    </row>
    <row r="35" spans="2:25">
      <c r="B35" s="16" t="s">
        <v>1086</v>
      </c>
      <c r="C35" s="15" t="s">
        <v>1087</v>
      </c>
      <c r="D35" s="15" t="s">
        <v>1088</v>
      </c>
      <c r="E35" s="501"/>
      <c r="G35" s="19"/>
      <c r="H35" s="12"/>
      <c r="I35" s="12"/>
      <c r="J35" s="107"/>
      <c r="K35" s="107"/>
      <c r="L35" s="40"/>
      <c r="M35" s="40"/>
      <c r="O35" s="12"/>
      <c r="P35" s="12"/>
      <c r="S35" s="107"/>
      <c r="T35" s="107"/>
      <c r="U35" s="107"/>
      <c r="V35" s="12"/>
      <c r="X35" s="25"/>
      <c r="Y35" s="12"/>
    </row>
    <row r="36" spans="2:25">
      <c r="B36" s="16"/>
      <c r="C36" s="15"/>
      <c r="D36" s="15"/>
      <c r="E36" s="507"/>
      <c r="H36" s="12"/>
      <c r="I36" s="12"/>
      <c r="J36" s="107"/>
      <c r="K36" s="107"/>
      <c r="L36" s="39"/>
      <c r="M36" s="39"/>
      <c r="O36" s="12"/>
      <c r="P36" s="12"/>
      <c r="S36" s="107"/>
      <c r="T36" s="107"/>
      <c r="U36" s="107"/>
      <c r="V36" s="12"/>
      <c r="X36" s="25"/>
      <c r="Y36" s="12"/>
    </row>
    <row r="37" spans="2:25">
      <c r="B37" s="16"/>
      <c r="C37" s="15"/>
      <c r="D37" s="15"/>
      <c r="E37" s="507"/>
      <c r="J37" s="39"/>
      <c r="K37" s="39"/>
      <c r="L37" s="107"/>
      <c r="M37" s="107"/>
      <c r="N37" s="107"/>
      <c r="S37" s="39"/>
      <c r="T37" s="39"/>
      <c r="U37" s="39"/>
      <c r="V37" s="107"/>
      <c r="X37" s="25"/>
    </row>
    <row r="38" spans="2:25">
      <c r="B38" s="16"/>
      <c r="C38" s="15"/>
      <c r="D38" s="15"/>
      <c r="E38" s="507"/>
      <c r="J38" s="39"/>
      <c r="K38" s="39"/>
      <c r="L38" s="107"/>
      <c r="M38" s="107"/>
      <c r="N38" s="107"/>
      <c r="S38" s="39"/>
      <c r="T38" s="39"/>
      <c r="U38" s="39"/>
      <c r="V38" s="107"/>
      <c r="X38" s="25"/>
    </row>
    <row r="39" spans="2:25">
      <c r="E39" s="107"/>
      <c r="J39" s="39"/>
      <c r="K39" s="39"/>
      <c r="L39" s="107"/>
      <c r="M39" s="107"/>
      <c r="N39" s="107"/>
      <c r="S39" s="39"/>
      <c r="T39" s="39"/>
      <c r="U39" s="39"/>
      <c r="V39" s="107"/>
    </row>
    <row r="40" spans="2:25">
      <c r="E40" s="107"/>
      <c r="J40" s="39"/>
      <c r="K40" s="39"/>
      <c r="L40" s="39"/>
      <c r="M40" s="39"/>
      <c r="S40" s="39"/>
      <c r="T40" s="39"/>
      <c r="U40" s="39"/>
      <c r="V40" s="107"/>
    </row>
    <row r="41" spans="2:25">
      <c r="E41" s="107"/>
      <c r="J41" s="39"/>
      <c r="K41" s="39"/>
      <c r="L41" s="39"/>
      <c r="M41" s="39"/>
      <c r="S41" s="39"/>
      <c r="T41" s="39"/>
      <c r="U41" s="39"/>
      <c r="V41" s="107"/>
    </row>
    <row r="42" spans="2:25">
      <c r="E42" s="107"/>
      <c r="J42" s="39"/>
      <c r="K42" s="39"/>
      <c r="L42" s="39"/>
      <c r="M42" s="39"/>
      <c r="S42" s="39"/>
      <c r="T42" s="39"/>
      <c r="U42" s="39"/>
      <c r="V42" s="107"/>
    </row>
    <row r="43" spans="2:25">
      <c r="E43" s="107"/>
      <c r="J43" s="39"/>
      <c r="K43" s="39"/>
      <c r="L43" s="39"/>
      <c r="M43" s="39"/>
      <c r="S43" s="39"/>
      <c r="T43" s="39"/>
      <c r="U43" s="39"/>
      <c r="V43" s="107"/>
    </row>
    <row r="44" spans="2:25">
      <c r="E44" s="107"/>
      <c r="J44" s="39"/>
      <c r="K44" s="39"/>
      <c r="L44" s="39"/>
      <c r="M44" s="39"/>
      <c r="S44" s="39"/>
      <c r="T44" s="39"/>
      <c r="U44" s="39"/>
      <c r="V44" s="107"/>
    </row>
    <row r="45" spans="2:25">
      <c r="E45" s="107"/>
      <c r="J45" s="39"/>
      <c r="K45" s="39"/>
      <c r="L45" s="39"/>
      <c r="M45" s="39"/>
      <c r="S45" s="39"/>
      <c r="T45" s="39"/>
      <c r="U45" s="39"/>
      <c r="V45" s="107"/>
    </row>
    <row r="46" spans="2:25">
      <c r="E46" s="107"/>
      <c r="J46" s="39"/>
      <c r="K46" s="39"/>
      <c r="L46" s="39"/>
      <c r="M46" s="39"/>
      <c r="S46" s="39"/>
      <c r="T46" s="39"/>
      <c r="U46" s="39"/>
      <c r="V46" s="107"/>
    </row>
    <row r="47" spans="2:25">
      <c r="E47" s="107"/>
      <c r="J47" s="39"/>
      <c r="K47" s="39"/>
      <c r="L47" s="39"/>
      <c r="M47" s="39"/>
      <c r="S47" s="39"/>
      <c r="T47" s="39"/>
      <c r="U47" s="39"/>
      <c r="V47" s="107"/>
    </row>
    <row r="48" spans="2:25">
      <c r="E48" s="107"/>
      <c r="J48" s="39"/>
      <c r="K48" s="39"/>
      <c r="L48" s="39"/>
      <c r="M48" s="39"/>
      <c r="S48" s="39"/>
      <c r="T48" s="39"/>
      <c r="U48" s="39"/>
      <c r="V48" s="107"/>
    </row>
    <row r="49" spans="5:22">
      <c r="E49" s="107"/>
      <c r="J49" s="39"/>
      <c r="K49" s="39"/>
      <c r="L49" s="39"/>
      <c r="M49" s="39"/>
      <c r="S49" s="39"/>
      <c r="T49" s="39"/>
      <c r="U49" s="39"/>
      <c r="V49" s="107"/>
    </row>
    <row r="50" spans="5:22">
      <c r="E50" s="107"/>
      <c r="J50" s="39"/>
      <c r="K50" s="39"/>
      <c r="L50" s="39"/>
      <c r="M50" s="39"/>
      <c r="S50" s="39"/>
      <c r="T50" s="39"/>
      <c r="U50" s="39"/>
      <c r="V50" s="107"/>
    </row>
    <row r="51" spans="5:22">
      <c r="E51" s="107"/>
      <c r="J51" s="39"/>
      <c r="K51" s="39"/>
      <c r="L51" s="39"/>
      <c r="M51" s="39"/>
      <c r="S51" s="39"/>
      <c r="T51" s="39"/>
      <c r="U51" s="39"/>
      <c r="V51" s="107"/>
    </row>
    <row r="52" spans="5:22">
      <c r="E52" s="107"/>
      <c r="J52" s="39"/>
      <c r="K52" s="39"/>
      <c r="L52" s="39"/>
      <c r="M52" s="39"/>
      <c r="S52" s="39"/>
      <c r="T52" s="39"/>
      <c r="U52" s="39"/>
      <c r="V52" s="107"/>
    </row>
    <row r="53" spans="5:22">
      <c r="E53" s="107"/>
      <c r="J53" s="39"/>
      <c r="K53" s="39"/>
      <c r="L53" s="39"/>
      <c r="M53" s="39"/>
      <c r="S53" s="39"/>
      <c r="T53" s="39"/>
      <c r="U53" s="39"/>
      <c r="V53" s="107"/>
    </row>
    <row r="54" spans="5:22">
      <c r="E54" s="107"/>
      <c r="J54" s="39"/>
      <c r="K54" s="39"/>
      <c r="L54" s="39"/>
      <c r="M54" s="39"/>
      <c r="S54" s="39"/>
      <c r="T54" s="39"/>
      <c r="U54" s="39"/>
      <c r="V54" s="107"/>
    </row>
    <row r="55" spans="5:22">
      <c r="E55" s="107"/>
      <c r="J55" s="39"/>
      <c r="K55" s="39"/>
      <c r="L55" s="39"/>
      <c r="M55" s="39"/>
      <c r="S55" s="39"/>
      <c r="T55" s="39"/>
      <c r="U55" s="39"/>
      <c r="V55" s="107"/>
    </row>
    <row r="56" spans="5:22">
      <c r="E56" s="107"/>
      <c r="J56" s="39"/>
      <c r="K56" s="39"/>
      <c r="L56" s="39"/>
      <c r="M56" s="39"/>
      <c r="S56" s="39"/>
      <c r="T56" s="39"/>
      <c r="U56" s="39"/>
      <c r="V56" s="107"/>
    </row>
    <row r="57" spans="5:22">
      <c r="E57" s="107"/>
      <c r="J57" s="39"/>
      <c r="K57" s="39"/>
      <c r="L57" s="39"/>
      <c r="M57" s="39"/>
      <c r="S57" s="39"/>
      <c r="T57" s="39"/>
      <c r="U57" s="39"/>
      <c r="V57" s="107"/>
    </row>
    <row r="58" spans="5:22">
      <c r="E58" s="107"/>
      <c r="J58" s="39"/>
      <c r="K58" s="39"/>
      <c r="L58" s="39"/>
      <c r="M58" s="39"/>
      <c r="S58" s="39"/>
      <c r="T58" s="39"/>
      <c r="U58" s="39"/>
      <c r="V58" s="107"/>
    </row>
    <row r="59" spans="5:22">
      <c r="E59" s="107"/>
      <c r="J59" s="39"/>
      <c r="K59" s="39"/>
      <c r="L59" s="39"/>
      <c r="M59" s="39"/>
      <c r="S59" s="39"/>
      <c r="T59" s="39"/>
      <c r="U59" s="39"/>
      <c r="V59" s="107"/>
    </row>
    <row r="60" spans="5:22">
      <c r="E60" s="107"/>
      <c r="J60" s="39"/>
      <c r="K60" s="39"/>
      <c r="L60" s="39"/>
      <c r="M60" s="39"/>
      <c r="S60" s="39"/>
      <c r="T60" s="39"/>
      <c r="U60" s="39"/>
      <c r="V60" s="107"/>
    </row>
    <row r="61" spans="5:22">
      <c r="E61" s="107"/>
      <c r="J61" s="39"/>
      <c r="K61" s="39"/>
      <c r="L61" s="39"/>
      <c r="M61" s="39"/>
      <c r="S61" s="39"/>
      <c r="T61" s="39"/>
      <c r="U61" s="39"/>
      <c r="V61" s="107"/>
    </row>
    <row r="62" spans="5:22">
      <c r="E62" s="107"/>
      <c r="J62" s="39"/>
      <c r="K62" s="39"/>
      <c r="L62" s="39"/>
      <c r="M62" s="39"/>
      <c r="S62" s="39"/>
      <c r="T62" s="39"/>
      <c r="U62" s="39"/>
      <c r="V62" s="107"/>
    </row>
    <row r="63" spans="5:22">
      <c r="E63" s="107"/>
      <c r="J63" s="39"/>
      <c r="K63" s="39"/>
      <c r="L63" s="39"/>
      <c r="M63" s="39"/>
      <c r="S63" s="39"/>
      <c r="T63" s="39"/>
      <c r="U63" s="39"/>
      <c r="V63" s="107"/>
    </row>
    <row r="64" spans="5:22">
      <c r="E64" s="107"/>
      <c r="J64" s="39"/>
      <c r="K64" s="39"/>
      <c r="L64" s="39"/>
      <c r="M64" s="39"/>
      <c r="S64" s="39"/>
      <c r="T64" s="39"/>
      <c r="U64" s="39"/>
      <c r="V64" s="107"/>
    </row>
    <row r="65" spans="5:22">
      <c r="E65" s="107"/>
      <c r="J65" s="39"/>
      <c r="K65" s="39"/>
      <c r="L65" s="39"/>
      <c r="M65" s="39"/>
      <c r="S65" s="39"/>
      <c r="T65" s="39"/>
      <c r="U65" s="39"/>
      <c r="V65" s="107"/>
    </row>
    <row r="66" spans="5:22">
      <c r="E66" s="107"/>
      <c r="J66" s="39"/>
      <c r="K66" s="39"/>
      <c r="L66" s="39"/>
      <c r="M66" s="39"/>
      <c r="S66" s="39"/>
      <c r="T66" s="39"/>
      <c r="U66" s="39"/>
      <c r="V66" s="107"/>
    </row>
    <row r="67" spans="5:22">
      <c r="E67" s="107"/>
      <c r="J67" s="39"/>
      <c r="K67" s="39"/>
      <c r="L67" s="39"/>
      <c r="M67" s="39"/>
      <c r="S67" s="39"/>
      <c r="T67" s="39"/>
      <c r="U67" s="39"/>
      <c r="V67" s="107"/>
    </row>
    <row r="68" spans="5:22">
      <c r="E68" s="107"/>
      <c r="J68" s="39"/>
      <c r="K68" s="39"/>
      <c r="L68" s="39"/>
      <c r="M68" s="39"/>
      <c r="S68" s="39"/>
      <c r="T68" s="39"/>
      <c r="U68" s="39"/>
      <c r="V68" s="107"/>
    </row>
    <row r="69" spans="5:22">
      <c r="E69" s="107"/>
      <c r="J69" s="39"/>
      <c r="K69" s="39"/>
      <c r="L69" s="39"/>
      <c r="M69" s="39"/>
      <c r="S69" s="39"/>
      <c r="T69" s="39"/>
      <c r="U69" s="39"/>
      <c r="V69" s="107"/>
    </row>
    <row r="70" spans="5:22">
      <c r="E70" s="107"/>
      <c r="J70" s="39"/>
      <c r="K70" s="39"/>
      <c r="L70" s="39"/>
      <c r="M70" s="39"/>
      <c r="S70" s="39"/>
      <c r="T70" s="39"/>
      <c r="U70" s="39"/>
      <c r="V70" s="107"/>
    </row>
    <row r="71" spans="5:22">
      <c r="E71" s="107"/>
      <c r="J71" s="39"/>
      <c r="K71" s="39"/>
      <c r="L71" s="39"/>
      <c r="M71" s="39"/>
      <c r="S71" s="39"/>
      <c r="T71" s="39"/>
      <c r="U71" s="39"/>
      <c r="V71" s="107"/>
    </row>
    <row r="72" spans="5:22">
      <c r="E72" s="107"/>
      <c r="J72" s="39"/>
      <c r="K72" s="39"/>
      <c r="L72" s="39"/>
      <c r="M72" s="39"/>
      <c r="S72" s="39"/>
      <c r="T72" s="39"/>
      <c r="U72" s="39"/>
      <c r="V72" s="107"/>
    </row>
    <row r="73" spans="5:22">
      <c r="E73" s="107"/>
      <c r="J73" s="39"/>
      <c r="K73" s="39"/>
      <c r="L73" s="39"/>
      <c r="M73" s="39"/>
      <c r="S73" s="39"/>
      <c r="T73" s="39"/>
      <c r="U73" s="39"/>
      <c r="V73" s="107"/>
    </row>
    <row r="74" spans="5:22">
      <c r="E74" s="107"/>
      <c r="J74" s="39"/>
      <c r="K74" s="39"/>
      <c r="L74" s="39"/>
      <c r="M74" s="39"/>
      <c r="S74" s="39"/>
      <c r="T74" s="39"/>
      <c r="U74" s="39"/>
    </row>
    <row r="75" spans="5:22">
      <c r="E75" s="107"/>
      <c r="J75" s="39"/>
      <c r="K75" s="39"/>
      <c r="L75" s="39"/>
      <c r="M75" s="39"/>
      <c r="S75" s="39"/>
      <c r="T75" s="39"/>
      <c r="U75" s="39"/>
    </row>
    <row r="76" spans="5:22">
      <c r="E76" s="107"/>
      <c r="J76" s="39"/>
      <c r="K76" s="39"/>
      <c r="L76" s="39"/>
      <c r="M76" s="39"/>
      <c r="S76" s="39"/>
      <c r="T76" s="39"/>
      <c r="U76" s="39"/>
    </row>
    <row r="77" spans="5:22">
      <c r="E77" s="107"/>
      <c r="J77" s="39"/>
      <c r="K77" s="39"/>
      <c r="L77" s="39"/>
      <c r="M77" s="39"/>
      <c r="S77" s="39"/>
      <c r="T77" s="39"/>
      <c r="U77" s="39"/>
    </row>
    <row r="78" spans="5:22">
      <c r="E78" s="107"/>
      <c r="J78" s="39"/>
      <c r="K78" s="39"/>
      <c r="L78" s="39"/>
      <c r="M78" s="39"/>
      <c r="S78" s="39"/>
      <c r="T78" s="39"/>
      <c r="U78" s="39"/>
    </row>
    <row r="79" spans="5:22">
      <c r="E79" s="107"/>
      <c r="J79" s="39"/>
      <c r="K79" s="39"/>
      <c r="L79" s="39"/>
      <c r="M79" s="39"/>
      <c r="S79" s="39"/>
      <c r="T79" s="39"/>
      <c r="U79" s="39"/>
    </row>
    <row r="80" spans="5:22">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L122" s="39"/>
      <c r="M122" s="39"/>
      <c r="S122" s="39"/>
      <c r="T122" s="39"/>
      <c r="U122" s="39"/>
    </row>
    <row r="123" spans="5:21">
      <c r="E123" s="107"/>
      <c r="L123" s="39"/>
      <c r="M123" s="39"/>
      <c r="S123" s="39"/>
      <c r="T123" s="39"/>
      <c r="U123" s="39"/>
    </row>
    <row r="124" spans="5:21">
      <c r="E124" s="107"/>
      <c r="L124" s="39"/>
      <c r="M124" s="39"/>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Q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pane xSplit="3" ySplit="5" topLeftCell="Q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6B39C927-85DF-40B9-BB81-E1D1FDF6ADC6}">
      <formula1>Flow_units</formula1>
    </dataValidation>
    <dataValidation type="custom" allowBlank="1" showInputMessage="1" showErrorMessage="1" error="Please do not change this formula" prompt="Please do not change this formula" sqref="O6:Q1048576 V6:V1048576 W4 V1:V4 R6:R19 R23:R1048576 N1:N1048576 O1:R4 S5:V5" xr:uid="{73233936-FFDC-4F42-8947-4BD322218898}">
      <formula1>"Please do not change this formula"</formula1>
    </dataValidation>
    <dataValidation type="custom" allowBlank="1" showInputMessage="1" showErrorMessage="1" error="Please do not change" sqref="R20:R22" xr:uid="{DBFE9F12-91D4-4723-9EA2-E9A10A72F01B}">
      <formula1>"Please do not change"</formula1>
    </dataValidation>
    <dataValidation type="custom" allowBlank="1" showInputMessage="1" showErrorMessage="1" error="Please do not change this formula" sqref="O5:R5" xr:uid="{DAE262A1-EC28-4B74-B920-B6120D700E7B}">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9CD708EA-4C11-443D-8F38-927B171013EC}">
      <formula1>0</formula1>
    </dataValidation>
  </dataValidations>
  <hyperlinks>
    <hyperlink ref="I2:J2" location="'Generic Feedstock Collection'!A1" display="Go to the next step of this pathway" xr:uid="{8C52EB09-9B23-4895-814F-A5F806D93920}"/>
    <hyperlink ref="I2:K2" location="Generic_Feedstock_Collection!A1" display="Go to the next step of this pathway" xr:uid="{DDB9A81F-F24C-47B5-8C38-DB42AAF97A46}"/>
  </hyperlinks>
  <pageMargins left="0" right="0" top="0" bottom="0" header="0" footer="0"/>
  <pageSetup paperSize="9" orientation="portrait" r:id="rId10"/>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233" id="{42BB0181-0BF7-4126-9AE0-FCD76BA015CF}">
            <xm:f>AND(Path&lt;&gt;Units!$B$139,Master_Switch="On")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234" id="{DFD977FE-CD54-40EA-8B26-C0399F4F3041}">
            <xm:f>AND(Initial_questions!$E$68&lt;&gt;"Cereals and other starch-rich crops", Initial_questions!$E$68&lt;&gt;"Sugar crops", Initial_questions!$E$68&lt;&gt;"Oil crops", Initial_questions!$E$68&lt;&gt;"Other crop/purpose grown feedstock",Master_Switch="On")</xm:f>
            <x14:dxf>
              <font>
                <color theme="0"/>
              </font>
              <fill>
                <patternFill>
                  <bgColor theme="0"/>
                </patternFill>
              </fill>
              <border>
                <left/>
                <right/>
                <top/>
                <bottom/>
              </border>
            </x14:dxf>
          </x14:cfRule>
          <xm:sqref>A3:XFD200</xm:sqref>
        </x14:conditionalFormatting>
      </x14:conditionalFormatting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A42C0-2AAE-4765-8861-AC85454DDB80}">
  <sheetPr codeName="Sheet17">
    <tabColor theme="0" tint="-0.34998626667073579"/>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55"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17.1796875" customWidth="1"/>
    <col min="16" max="16" width="10.54296875" customWidth="1"/>
    <col min="17" max="17" width="18.81640625" style="12" customWidth="1"/>
    <col min="18" max="18" width="17.54296875" style="12" customWidth="1"/>
    <col min="19" max="20" width="20.7265625" style="13" customWidth="1"/>
    <col min="21" max="21" width="22.7265625" style="13" customWidth="1"/>
    <col min="22" max="22" width="20.26953125" style="39" customWidth="1"/>
    <col min="23" max="23" width="7.1796875" style="12" customWidth="1"/>
    <col min="24" max="24" width="26" style="12" customWidth="1"/>
    <col min="26" max="16384" width="7.1796875" style="12"/>
  </cols>
  <sheetData>
    <row r="1" spans="1:29" ht="31.9" customHeight="1">
      <c r="A1" s="80" t="str">
        <f>IF(AND(Path&lt;&gt;Units!$B$139,Master_Switch="On"),"User should not fill in this sheet, but switch to other non-blank GHG worksheets","")</f>
        <v>User should not fill in this sheet, but switch to other non-blank GHG worksheets</v>
      </c>
      <c r="E1" s="256"/>
    </row>
    <row r="2" spans="1:29" ht="20.5" customHeight="1">
      <c r="E2" s="256"/>
      <c r="I2" s="729" t="s">
        <v>1093</v>
      </c>
      <c r="J2" s="731"/>
      <c r="K2" s="732"/>
      <c r="L2" s="39"/>
      <c r="M2" s="39"/>
    </row>
    <row r="3" spans="1:29" ht="15" customHeight="1">
      <c r="E3" s="256"/>
    </row>
    <row r="4" spans="1:29" ht="15.65" customHeight="1" thickBot="1">
      <c r="B4" s="3"/>
      <c r="C4" s="3"/>
      <c r="D4" s="3"/>
      <c r="E4" s="455"/>
      <c r="F4" s="3"/>
      <c r="G4" s="3"/>
      <c r="H4" s="1"/>
      <c r="I4" s="1"/>
      <c r="J4" s="1"/>
      <c r="K4" s="1"/>
      <c r="L4" s="1"/>
      <c r="M4" s="1"/>
      <c r="N4" s="37"/>
      <c r="O4" s="1"/>
      <c r="P4" s="1"/>
      <c r="Q4" s="3"/>
      <c r="R4" s="3"/>
      <c r="S4" s="1"/>
      <c r="T4" s="1"/>
      <c r="U4" s="1"/>
      <c r="V4" s="37"/>
      <c r="W4" s="37"/>
      <c r="X4" s="3"/>
    </row>
    <row r="5" spans="1:29"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9" ht="15" thickTop="1">
      <c r="E6" s="457"/>
      <c r="R6"/>
      <c r="S6"/>
      <c r="T6"/>
      <c r="U6"/>
      <c r="V6"/>
    </row>
    <row r="7" spans="1:29">
      <c r="B7" s="145" t="s">
        <v>1097</v>
      </c>
      <c r="C7" s="145"/>
      <c r="D7" s="145"/>
      <c r="E7" s="324"/>
      <c r="F7" s="145"/>
      <c r="G7" s="145"/>
      <c r="H7" s="145"/>
      <c r="I7" s="145"/>
      <c r="J7" s="145"/>
      <c r="K7" s="145"/>
      <c r="L7" s="145"/>
      <c r="M7" s="145"/>
      <c r="N7" s="301"/>
      <c r="R7"/>
      <c r="S7"/>
      <c r="T7"/>
      <c r="U7"/>
      <c r="V7"/>
      <c r="W7" s="19"/>
      <c r="X7" s="19"/>
      <c r="Y7" s="19"/>
      <c r="Z7" s="19"/>
      <c r="AA7" s="19"/>
      <c r="AB7" s="19"/>
      <c r="AC7" s="19"/>
    </row>
    <row r="8" spans="1:29">
      <c r="B8" s="16" t="s">
        <v>1115</v>
      </c>
      <c r="C8" s="184" t="s">
        <v>1295</v>
      </c>
      <c r="D8" s="179" t="s">
        <v>459</v>
      </c>
      <c r="E8" s="35"/>
      <c r="F8" s="24"/>
      <c r="G8" s="21"/>
      <c r="H8" s="20"/>
      <c r="I8" s="20"/>
      <c r="J8" s="300"/>
      <c r="K8" s="302"/>
      <c r="L8" s="302"/>
      <c r="M8" s="302"/>
      <c r="N8" s="242">
        <f t="shared" ref="N8:N17" si="0">IF($D8="MWh/yr (LHV)",$E8,$J8*$E8*(1-$L8)/Conversion_kWh_to_MJ)</f>
        <v>0</v>
      </c>
      <c r="O8" s="12"/>
      <c r="P8" s="12"/>
      <c r="S8" s="107"/>
      <c r="T8" s="107"/>
      <c r="U8" s="107"/>
      <c r="V8" s="12"/>
      <c r="X8" s="24"/>
      <c r="Y8" s="12"/>
    </row>
    <row r="9" spans="1:29">
      <c r="B9" s="186" t="s">
        <v>1021</v>
      </c>
      <c r="C9" s="184" t="s">
        <v>1098</v>
      </c>
      <c r="D9" s="179" t="s">
        <v>479</v>
      </c>
      <c r="E9" s="35"/>
      <c r="F9" s="24"/>
      <c r="G9" s="21"/>
      <c r="H9" s="20"/>
      <c r="I9" s="36"/>
      <c r="J9" s="300"/>
      <c r="K9" s="302"/>
      <c r="L9" s="302"/>
      <c r="M9" s="302"/>
      <c r="N9" s="242">
        <f t="shared" si="0"/>
        <v>0</v>
      </c>
      <c r="O9" s="12"/>
      <c r="P9" s="12"/>
      <c r="S9" s="35" t="str">
        <f t="shared" ref="S9:S10" si="1">IF(B9="", "", IF(D9="MWh/yr (LHV)", "Use column to right", "Enter data here"))</f>
        <v>Use column to right</v>
      </c>
      <c r="T9" s="35" t="e">
        <f>INDEX(Proj_grid_intensity_kWh,MATCH(Operations_year,Proj_grid_year,0))/Conversion_kWh_to_MJ</f>
        <v>#N/A</v>
      </c>
      <c r="U9" s="35" t="s">
        <v>1064</v>
      </c>
      <c r="V9" s="263" t="str">
        <f t="shared" ref="V9:V17" si="2">IFERROR(IF(D9="tonnes/yr", $S9*$E9/($N$20*3.6), $T9*$E9*3.6/($N$20*3.6)), "Unfilled fields to left")</f>
        <v>Unfilled fields to left</v>
      </c>
      <c r="X9" s="25"/>
      <c r="Y9" s="12"/>
    </row>
    <row r="10" spans="1:29">
      <c r="B10" s="186" t="s">
        <v>1021</v>
      </c>
      <c r="C10" s="184"/>
      <c r="D10" s="179"/>
      <c r="E10" s="35"/>
      <c r="F10" s="24"/>
      <c r="G10" s="21"/>
      <c r="H10" s="20"/>
      <c r="I10" s="36"/>
      <c r="J10" s="300"/>
      <c r="K10" s="302"/>
      <c r="L10" s="302"/>
      <c r="M10" s="302"/>
      <c r="N10" s="242">
        <f t="shared" si="0"/>
        <v>0</v>
      </c>
      <c r="O10" s="12"/>
      <c r="P10" s="12"/>
      <c r="S10" s="35" t="str">
        <f t="shared" si="1"/>
        <v>Enter data here</v>
      </c>
      <c r="T10" s="35" t="str">
        <f t="shared" ref="T10" si="3">IF(B10="", "", IF(D10="MWh/yr (LHV)", "Enter data here", "Use column to left"))</f>
        <v>Use column to left</v>
      </c>
      <c r="U10" s="35" t="s">
        <v>1100</v>
      </c>
      <c r="V10" s="263" t="str">
        <f t="shared" si="2"/>
        <v>Unfilled fields to left</v>
      </c>
      <c r="X10" s="25"/>
      <c r="Y10" s="12"/>
    </row>
    <row r="11" spans="1:29">
      <c r="B11" s="186" t="s">
        <v>1042</v>
      </c>
      <c r="C11" s="184" t="s">
        <v>1043</v>
      </c>
      <c r="D11" s="179" t="s">
        <v>459</v>
      </c>
      <c r="E11" s="35"/>
      <c r="F11" s="35"/>
      <c r="G11" s="21"/>
      <c r="H11" s="20"/>
      <c r="I11" s="36"/>
      <c r="J11" s="300"/>
      <c r="K11" s="302"/>
      <c r="L11" s="302"/>
      <c r="M11" s="302"/>
      <c r="N11" s="242">
        <f t="shared" si="0"/>
        <v>0</v>
      </c>
      <c r="O11" s="12"/>
      <c r="P11" s="12"/>
      <c r="S11" s="35" t="str">
        <f t="shared" ref="S11:S17" si="4">IF(B11="", "", IF(D11="MWh/yr (LHV)", "Use column to right", "Enter data here"))</f>
        <v>Enter data here</v>
      </c>
      <c r="T11" s="35" t="str">
        <f t="shared" ref="T11:T17" si="5">IF(B11="", "", IF(D11="MWh/yr (LHV)", "Enter data here", "Use column to left"))</f>
        <v>Use column to left</v>
      </c>
      <c r="U11" s="35" t="s">
        <v>1100</v>
      </c>
      <c r="V11" s="263" t="str">
        <f t="shared" si="2"/>
        <v>Unfilled fields to left</v>
      </c>
      <c r="X11" s="25"/>
      <c r="Y11" s="12"/>
    </row>
    <row r="12" spans="1:29">
      <c r="B12" s="186" t="s">
        <v>1042</v>
      </c>
      <c r="C12" s="184" t="s">
        <v>1045</v>
      </c>
      <c r="D12" s="179" t="s">
        <v>459</v>
      </c>
      <c r="E12" s="35"/>
      <c r="F12" s="21"/>
      <c r="G12" s="21"/>
      <c r="H12" s="20"/>
      <c r="I12" s="36"/>
      <c r="J12" s="300"/>
      <c r="K12" s="302"/>
      <c r="L12" s="302"/>
      <c r="M12" s="302"/>
      <c r="N12" s="242">
        <f t="shared" si="0"/>
        <v>0</v>
      </c>
      <c r="O12" s="12"/>
      <c r="P12" s="12"/>
      <c r="S12" s="35" t="str">
        <f t="shared" si="4"/>
        <v>Enter data here</v>
      </c>
      <c r="T12" s="35" t="str">
        <f t="shared" si="5"/>
        <v>Use column to left</v>
      </c>
      <c r="U12" s="35" t="s">
        <v>1100</v>
      </c>
      <c r="V12" s="263" t="str">
        <f t="shared" si="2"/>
        <v>Unfilled fields to left</v>
      </c>
      <c r="X12" s="25"/>
      <c r="Y12" s="12"/>
    </row>
    <row r="13" spans="1:29">
      <c r="B13" s="186" t="s">
        <v>1051</v>
      </c>
      <c r="C13" s="184" t="s">
        <v>1010</v>
      </c>
      <c r="D13" s="179" t="s">
        <v>459</v>
      </c>
      <c r="E13" s="35"/>
      <c r="F13" s="21"/>
      <c r="G13" s="21"/>
      <c r="H13" s="20"/>
      <c r="I13" s="36"/>
      <c r="J13" s="300"/>
      <c r="K13" s="302"/>
      <c r="L13" s="302"/>
      <c r="M13" s="302"/>
      <c r="N13" s="242">
        <f t="shared" si="0"/>
        <v>0</v>
      </c>
      <c r="O13" s="12"/>
      <c r="P13" s="12"/>
      <c r="S13" s="35" t="str">
        <f t="shared" si="4"/>
        <v>Enter data here</v>
      </c>
      <c r="T13" s="35" t="str">
        <f t="shared" si="5"/>
        <v>Use column to left</v>
      </c>
      <c r="U13" s="35" t="s">
        <v>1100</v>
      </c>
      <c r="V13" s="263" t="str">
        <f t="shared" si="2"/>
        <v>Unfilled fields to left</v>
      </c>
      <c r="X13" s="25"/>
      <c r="Y13" s="12"/>
    </row>
    <row r="14" spans="1:29">
      <c r="B14" s="186" t="s">
        <v>1051</v>
      </c>
      <c r="C14" s="184" t="s">
        <v>1101</v>
      </c>
      <c r="D14" s="179" t="s">
        <v>459</v>
      </c>
      <c r="E14" s="35"/>
      <c r="F14" s="21"/>
      <c r="G14" s="21"/>
      <c r="H14" s="20"/>
      <c r="I14" s="36"/>
      <c r="J14" s="300"/>
      <c r="K14" s="302"/>
      <c r="L14" s="302"/>
      <c r="M14" s="302"/>
      <c r="N14" s="242">
        <f t="shared" si="0"/>
        <v>0</v>
      </c>
      <c r="O14" s="12"/>
      <c r="P14" s="12"/>
      <c r="S14" s="35" t="str">
        <f t="shared" si="4"/>
        <v>Enter data here</v>
      </c>
      <c r="T14" s="35" t="str">
        <f t="shared" si="5"/>
        <v>Use column to left</v>
      </c>
      <c r="U14" s="35" t="s">
        <v>1100</v>
      </c>
      <c r="V14" s="263" t="str">
        <f t="shared" si="2"/>
        <v>Unfilled fields to left</v>
      </c>
      <c r="X14" s="25"/>
      <c r="Y14" s="12"/>
    </row>
    <row r="15" spans="1:29">
      <c r="B15" s="186" t="s">
        <v>1177</v>
      </c>
      <c r="C15" s="184" t="s">
        <v>1055</v>
      </c>
      <c r="D15" s="179" t="s">
        <v>459</v>
      </c>
      <c r="E15" s="35"/>
      <c r="F15" s="21"/>
      <c r="G15" s="21"/>
      <c r="H15" s="20"/>
      <c r="I15" s="36"/>
      <c r="J15" s="300"/>
      <c r="K15" s="302"/>
      <c r="L15" s="302"/>
      <c r="M15" s="302"/>
      <c r="N15" s="242">
        <f t="shared" si="0"/>
        <v>0</v>
      </c>
      <c r="O15" s="12"/>
      <c r="P15" s="12"/>
      <c r="S15" s="35" t="str">
        <f t="shared" si="4"/>
        <v>Enter data here</v>
      </c>
      <c r="T15" s="35" t="str">
        <f t="shared" si="5"/>
        <v>Use column to left</v>
      </c>
      <c r="U15" s="35" t="s">
        <v>1100</v>
      </c>
      <c r="V15" s="263" t="str">
        <f t="shared" si="2"/>
        <v>Unfilled fields to left</v>
      </c>
      <c r="X15" s="25"/>
      <c r="Y15" s="12"/>
    </row>
    <row r="16" spans="1:29">
      <c r="B16" s="186" t="s">
        <v>1177</v>
      </c>
      <c r="C16" s="184" t="s">
        <v>1213</v>
      </c>
      <c r="D16" s="179" t="s">
        <v>459</v>
      </c>
      <c r="E16" s="35"/>
      <c r="F16" s="21"/>
      <c r="G16" s="21"/>
      <c r="H16" s="20"/>
      <c r="I16" s="36"/>
      <c r="J16" s="300"/>
      <c r="K16" s="302"/>
      <c r="L16" s="302"/>
      <c r="M16" s="302"/>
      <c r="N16" s="242">
        <f t="shared" si="0"/>
        <v>0</v>
      </c>
      <c r="O16" s="12"/>
      <c r="P16" s="12"/>
      <c r="S16" s="35" t="str">
        <f t="shared" si="4"/>
        <v>Enter data here</v>
      </c>
      <c r="T16" s="35" t="str">
        <f t="shared" si="5"/>
        <v>Use column to left</v>
      </c>
      <c r="U16" s="35" t="s">
        <v>1100</v>
      </c>
      <c r="V16" s="263" t="str">
        <f t="shared" si="2"/>
        <v>Unfilled fields to left</v>
      </c>
      <c r="X16" s="25"/>
      <c r="Y16" s="12"/>
    </row>
    <row r="17" spans="2:29">
      <c r="B17" s="16"/>
      <c r="C17" s="15"/>
      <c r="D17" s="179"/>
      <c r="E17" s="35"/>
      <c r="F17" s="21"/>
      <c r="G17" s="21"/>
      <c r="H17" s="20"/>
      <c r="I17" s="36"/>
      <c r="J17" s="300"/>
      <c r="K17" s="302"/>
      <c r="L17" s="302"/>
      <c r="M17" s="302"/>
      <c r="N17" s="242">
        <f t="shared" si="0"/>
        <v>0</v>
      </c>
      <c r="O17" s="12"/>
      <c r="P17" s="12"/>
      <c r="S17" s="35" t="str">
        <f t="shared" si="4"/>
        <v/>
      </c>
      <c r="T17" s="35" t="str">
        <f t="shared" si="5"/>
        <v/>
      </c>
      <c r="U17" s="35"/>
      <c r="V17" s="263" t="str">
        <f t="shared" si="2"/>
        <v>Unfilled fields to left</v>
      </c>
      <c r="X17" s="25"/>
      <c r="Y17" s="12"/>
    </row>
    <row r="18" spans="2:29">
      <c r="C18" s="17"/>
      <c r="D18" s="17"/>
      <c r="E18" s="506"/>
      <c r="F18" s="26"/>
      <c r="G18" s="27"/>
      <c r="H18" s="22"/>
      <c r="I18" s="22"/>
      <c r="J18" s="41"/>
      <c r="K18" s="41"/>
      <c r="L18" s="41"/>
      <c r="M18" s="41"/>
      <c r="N18" s="41"/>
      <c r="O18" s="12"/>
      <c r="P18" s="12"/>
      <c r="S18" s="41"/>
      <c r="T18" s="41"/>
      <c r="U18" s="41"/>
      <c r="V18" s="139"/>
      <c r="X18" s="27"/>
      <c r="Y18" s="12"/>
    </row>
    <row r="19" spans="2:29">
      <c r="B19" s="145" t="s">
        <v>1103</v>
      </c>
      <c r="C19" s="145"/>
      <c r="D19" s="145"/>
      <c r="E19" s="301"/>
      <c r="F19" s="145"/>
      <c r="G19" s="145"/>
      <c r="H19" s="145"/>
      <c r="I19" s="145"/>
      <c r="J19" s="301"/>
      <c r="K19" s="301"/>
      <c r="L19" s="301"/>
      <c r="M19" s="301"/>
      <c r="N19" s="301"/>
      <c r="R19"/>
      <c r="S19" s="40"/>
      <c r="T19" s="40"/>
      <c r="U19" s="40"/>
      <c r="V19" s="140"/>
      <c r="W19" s="19"/>
      <c r="X19" s="19"/>
      <c r="Y19" s="19"/>
      <c r="Z19" s="19"/>
      <c r="AA19" s="19"/>
      <c r="AB19" s="19"/>
      <c r="AC19" s="19"/>
    </row>
    <row r="20" spans="2:29">
      <c r="B20" s="16" t="s">
        <v>1104</v>
      </c>
      <c r="C20" s="184" t="s">
        <v>1295</v>
      </c>
      <c r="D20" s="179" t="s">
        <v>459</v>
      </c>
      <c r="E20" s="35"/>
      <c r="F20" s="21"/>
      <c r="G20" s="21"/>
      <c r="H20" s="21"/>
      <c r="I20" s="21"/>
      <c r="J20" s="300"/>
      <c r="K20" s="306"/>
      <c r="L20" s="306"/>
      <c r="M20" s="306"/>
      <c r="N20" s="242">
        <f t="shared" ref="N20:N31" si="6">IF($D20="MWh/yr (LHV)",$E20,$J20*$E20*(1-$L20)/Conversion_kWh_to_MJ)</f>
        <v>0</v>
      </c>
      <c r="O20" s="246" t="str">
        <f>IFERROR(N20/N8,"")</f>
        <v/>
      </c>
      <c r="P20" s="12"/>
      <c r="Q20" s="515">
        <f>IF($D20="MWh/yr (LHV)",$E20,$E20*MAX(0, $J20*(1-$L20)-2.441*$L20)/Conversion_kWh_to_MJ)</f>
        <v>0</v>
      </c>
      <c r="R20" s="245" t="str">
        <f>IFERROR(Q20/(SUM($Q$20:$Q$22)),"")</f>
        <v/>
      </c>
      <c r="S20" s="42"/>
      <c r="T20" s="42"/>
      <c r="U20" s="42"/>
      <c r="V20" s="141"/>
      <c r="X20" s="21"/>
      <c r="Y20" s="12"/>
    </row>
    <row r="21" spans="2:29" s="14" customFormat="1">
      <c r="B21" s="186" t="s">
        <v>1008</v>
      </c>
      <c r="C21" s="184" t="s">
        <v>1106</v>
      </c>
      <c r="D21" s="179" t="s">
        <v>459</v>
      </c>
      <c r="E21" s="35"/>
      <c r="F21" s="21"/>
      <c r="G21" s="21"/>
      <c r="H21" s="20"/>
      <c r="I21" s="33"/>
      <c r="J21" s="300"/>
      <c r="K21" s="302"/>
      <c r="L21" s="302"/>
      <c r="M21" s="302"/>
      <c r="N21" s="242">
        <f t="shared" si="6"/>
        <v>0</v>
      </c>
      <c r="O21" s="12"/>
      <c r="P21" s="12"/>
      <c r="Q21" s="515">
        <f>IF($D21="MWh/yr (LHV)",$E21,$E21*MAX(0, $J21*(1-$L21)-2.441*$L21)/Conversion_kWh_to_MJ)</f>
        <v>0</v>
      </c>
      <c r="R21" s="245" t="str">
        <f t="shared" ref="R21:R22" si="7">IFERROR(Q21/(SUM($Q$20:$Q$22)),"")</f>
        <v/>
      </c>
      <c r="S21" s="42"/>
      <c r="T21" s="42"/>
      <c r="U21" s="107"/>
      <c r="V21" s="12"/>
      <c r="W21" s="23"/>
      <c r="X21" s="21"/>
      <c r="Y21" s="23"/>
      <c r="Z21" s="42"/>
      <c r="AB21" s="12"/>
    </row>
    <row r="22" spans="2:29" s="14" customFormat="1">
      <c r="B22" s="186" t="s">
        <v>1008</v>
      </c>
      <c r="C22" s="184" t="s">
        <v>1107</v>
      </c>
      <c r="D22" s="179" t="s">
        <v>459</v>
      </c>
      <c r="E22" s="35"/>
      <c r="F22" s="21"/>
      <c r="G22" s="21"/>
      <c r="H22" s="20"/>
      <c r="I22" s="20"/>
      <c r="J22" s="302"/>
      <c r="K22" s="302"/>
      <c r="L22" s="302"/>
      <c r="M22" s="302"/>
      <c r="N22" s="242">
        <f t="shared" si="6"/>
        <v>0</v>
      </c>
      <c r="O22" s="12"/>
      <c r="P22" s="12"/>
      <c r="Q22" s="515">
        <f>IF($D22="MWh/yr (LHV)",$E22,$E22*MAX(0, $J22*(1-$L22)-2.441*$L22)/Conversion_kWh_to_MJ)</f>
        <v>0</v>
      </c>
      <c r="R22" s="245" t="str">
        <f t="shared" si="7"/>
        <v/>
      </c>
      <c r="S22" s="42"/>
      <c r="T22" s="42"/>
      <c r="U22" s="107"/>
      <c r="V22" s="12"/>
      <c r="W22" s="23"/>
      <c r="X22" s="21"/>
      <c r="Y22" s="23"/>
      <c r="Z22" s="42"/>
      <c r="AB22" s="12"/>
    </row>
    <row r="23" spans="2:29" s="14" customFormat="1">
      <c r="B23" s="186" t="s">
        <v>1013</v>
      </c>
      <c r="C23" s="184" t="s">
        <v>1108</v>
      </c>
      <c r="D23" s="179" t="s">
        <v>459</v>
      </c>
      <c r="E23" s="35"/>
      <c r="F23" s="21"/>
      <c r="G23" s="21"/>
      <c r="H23" s="20"/>
      <c r="I23" s="20"/>
      <c r="J23" s="302"/>
      <c r="K23" s="302"/>
      <c r="L23" s="302"/>
      <c r="M23" s="302"/>
      <c r="N23" s="242">
        <f t="shared" si="6"/>
        <v>0</v>
      </c>
      <c r="O23" s="12"/>
      <c r="P23" s="12"/>
      <c r="Q23" s="12"/>
      <c r="R23" s="12"/>
      <c r="S23" s="107"/>
      <c r="T23" s="107"/>
      <c r="U23" s="107"/>
      <c r="V23" s="12"/>
      <c r="W23" s="23"/>
      <c r="X23" s="21"/>
      <c r="Y23" s="23"/>
      <c r="Z23" s="42"/>
      <c r="AB23" s="12"/>
    </row>
    <row r="24" spans="2:29" s="14" customFormat="1">
      <c r="B24" s="186" t="s">
        <v>1013</v>
      </c>
      <c r="C24" s="184" t="s">
        <v>1015</v>
      </c>
      <c r="D24" s="179" t="s">
        <v>459</v>
      </c>
      <c r="E24" s="35"/>
      <c r="F24" s="21"/>
      <c r="G24" s="21"/>
      <c r="H24" s="20"/>
      <c r="I24" s="20"/>
      <c r="J24" s="302"/>
      <c r="K24" s="302"/>
      <c r="L24" s="302"/>
      <c r="M24" s="302"/>
      <c r="N24" s="242">
        <f t="shared" si="6"/>
        <v>0</v>
      </c>
      <c r="O24" s="12"/>
      <c r="P24" s="12"/>
      <c r="Q24" s="12"/>
      <c r="R24" s="12"/>
      <c r="S24" s="107"/>
      <c r="T24" s="107"/>
      <c r="U24" s="107"/>
      <c r="V24" s="12"/>
      <c r="W24" s="23"/>
      <c r="X24" s="21"/>
      <c r="Y24" s="23"/>
      <c r="Z24" s="42"/>
      <c r="AB24" s="12"/>
    </row>
    <row r="25" spans="2:29" s="14" customFormat="1">
      <c r="B25" s="186" t="s">
        <v>1016</v>
      </c>
      <c r="C25" s="184" t="s">
        <v>1017</v>
      </c>
      <c r="D25" s="179" t="s">
        <v>459</v>
      </c>
      <c r="E25" s="35"/>
      <c r="F25" s="21"/>
      <c r="G25" s="21"/>
      <c r="H25" s="20"/>
      <c r="I25" s="36"/>
      <c r="J25" s="300"/>
      <c r="K25" s="302"/>
      <c r="L25" s="302"/>
      <c r="M25" s="302"/>
      <c r="N25" s="242">
        <f t="shared" si="6"/>
        <v>0</v>
      </c>
      <c r="O25" s="12"/>
      <c r="P25" s="12"/>
      <c r="Q25" s="12"/>
      <c r="R25" s="12"/>
      <c r="S25" s="107"/>
      <c r="T25" s="107"/>
      <c r="U25" s="107"/>
      <c r="V25" s="12"/>
      <c r="X25" s="21"/>
    </row>
    <row r="26" spans="2:29" s="14" customFormat="1">
      <c r="B26" s="186" t="s">
        <v>1016</v>
      </c>
      <c r="C26" s="184" t="s">
        <v>1018</v>
      </c>
      <c r="D26" s="179" t="s">
        <v>459</v>
      </c>
      <c r="E26" s="35"/>
      <c r="F26" s="21"/>
      <c r="G26" s="21"/>
      <c r="H26" s="20"/>
      <c r="I26" s="36"/>
      <c r="J26" s="300"/>
      <c r="K26" s="302"/>
      <c r="L26" s="302"/>
      <c r="M26" s="302"/>
      <c r="N26" s="242">
        <f t="shared" si="6"/>
        <v>0</v>
      </c>
      <c r="O26" s="12"/>
      <c r="P26" s="12"/>
      <c r="Q26" s="12"/>
      <c r="R26" s="12"/>
      <c r="S26" s="107"/>
      <c r="T26" s="107"/>
      <c r="U26" s="107"/>
      <c r="V26" s="12"/>
      <c r="X26" s="21"/>
    </row>
    <row r="27" spans="2:29" s="14" customFormat="1">
      <c r="B27" s="186" t="s">
        <v>1057</v>
      </c>
      <c r="C27" s="184" t="s">
        <v>1182</v>
      </c>
      <c r="D27" s="179" t="s">
        <v>459</v>
      </c>
      <c r="E27" s="35"/>
      <c r="F27" s="34"/>
      <c r="G27" s="21"/>
      <c r="H27" s="20"/>
      <c r="I27" s="36"/>
      <c r="J27" s="300"/>
      <c r="K27" s="302"/>
      <c r="L27" s="302"/>
      <c r="M27" s="302"/>
      <c r="N27" s="242">
        <f t="shared" si="6"/>
        <v>0</v>
      </c>
      <c r="O27" s="12"/>
      <c r="P27" s="12"/>
      <c r="Q27" s="12"/>
      <c r="R27" s="12"/>
      <c r="S27" s="35">
        <v>1000</v>
      </c>
      <c r="T27" s="518"/>
      <c r="U27" s="35" t="s">
        <v>1118</v>
      </c>
      <c r="V27" s="263" t="str">
        <f>IFERROR(IF(D27="tonnes/yr", $S27*$E27/($N$20*3.6), $T27*$E27*3.6/($N$20*3.6)), "Unfilled fields to left")</f>
        <v>Unfilled fields to left</v>
      </c>
      <c r="X27" s="21"/>
    </row>
    <row r="28" spans="2:29" s="14" customFormat="1">
      <c r="B28" s="186" t="s">
        <v>1113</v>
      </c>
      <c r="C28" s="184" t="s">
        <v>1073</v>
      </c>
      <c r="D28" s="179" t="s">
        <v>459</v>
      </c>
      <c r="E28" s="35"/>
      <c r="F28" s="34"/>
      <c r="G28" s="21"/>
      <c r="H28" s="20"/>
      <c r="I28" s="36"/>
      <c r="J28" s="300"/>
      <c r="K28" s="302"/>
      <c r="L28" s="302"/>
      <c r="M28" s="302"/>
      <c r="N28" s="242">
        <f t="shared" si="6"/>
        <v>0</v>
      </c>
      <c r="O28" s="12"/>
      <c r="P28" s="12"/>
      <c r="Q28" s="12"/>
      <c r="R28" s="12"/>
      <c r="S28" s="35">
        <v>28000</v>
      </c>
      <c r="T28" s="518"/>
      <c r="U28" s="35" t="s">
        <v>1059</v>
      </c>
      <c r="V28" s="263" t="str">
        <f>IFERROR(IF(D28="tonnes/yr", $S28*$E28/($N$20*3.6), $T28*$E28*3.6/($N$20*3.6)), "Unfilled fields to left")</f>
        <v>Unfilled fields to left</v>
      </c>
      <c r="X28" s="21"/>
    </row>
    <row r="29" spans="2:29" s="14" customFormat="1">
      <c r="B29" s="186" t="s">
        <v>1113</v>
      </c>
      <c r="C29" s="184" t="s">
        <v>1075</v>
      </c>
      <c r="D29" s="179" t="s">
        <v>459</v>
      </c>
      <c r="E29" s="35"/>
      <c r="F29" s="24"/>
      <c r="G29" s="21"/>
      <c r="H29" s="20"/>
      <c r="I29" s="36"/>
      <c r="J29" s="300"/>
      <c r="K29" s="302"/>
      <c r="L29" s="302"/>
      <c r="M29" s="302"/>
      <c r="N29" s="242">
        <f t="shared" si="6"/>
        <v>0</v>
      </c>
      <c r="O29" s="12"/>
      <c r="P29" s="12"/>
      <c r="Q29" s="12"/>
      <c r="R29" s="12"/>
      <c r="S29" s="35">
        <v>265000</v>
      </c>
      <c r="T29" s="518"/>
      <c r="U29" s="35" t="s">
        <v>1059</v>
      </c>
      <c r="V29" s="263" t="str">
        <f>IFERROR(IF(D29="tonnes/yr", $S29*$E29/($N$20*3.6), $T29*$E29*3.6/($N$20*3.6)), "Unfilled fields to left")</f>
        <v>Unfilled fields to left</v>
      </c>
      <c r="X29" s="21"/>
    </row>
    <row r="30" spans="2:29" s="14" customFormat="1">
      <c r="B30" s="16"/>
      <c r="C30" s="15"/>
      <c r="D30" s="179"/>
      <c r="E30" s="35"/>
      <c r="F30" s="21"/>
      <c r="G30" s="21"/>
      <c r="H30" s="20"/>
      <c r="I30" s="36"/>
      <c r="J30" s="300"/>
      <c r="K30" s="302"/>
      <c r="L30" s="302"/>
      <c r="M30" s="302"/>
      <c r="N30" s="242">
        <f t="shared" si="6"/>
        <v>0</v>
      </c>
      <c r="O30" s="12"/>
      <c r="P30" s="12"/>
      <c r="Q30" s="12"/>
      <c r="R30" s="12"/>
      <c r="S30" s="300"/>
      <c r="T30" s="477"/>
      <c r="U30" s="302"/>
      <c r="V30" s="263" t="str">
        <f>IFERROR(IF(D30="tonnes/yr", $S30*$E30/($N$20*3.6), $T30*$E30*3.6/($N$20*3.6)), "Unfilled fields to left")</f>
        <v>Unfilled fields to left</v>
      </c>
      <c r="X30" s="21"/>
    </row>
    <row r="31" spans="2:29" s="14" customFormat="1">
      <c r="B31" s="16"/>
      <c r="C31" s="15"/>
      <c r="D31" s="179"/>
      <c r="E31" s="35"/>
      <c r="F31" s="21"/>
      <c r="G31" s="21"/>
      <c r="H31" s="20"/>
      <c r="I31" s="36"/>
      <c r="J31" s="300"/>
      <c r="K31" s="302"/>
      <c r="L31" s="302"/>
      <c r="M31" s="302"/>
      <c r="N31" s="242">
        <f t="shared" si="6"/>
        <v>0</v>
      </c>
      <c r="O31" s="12"/>
      <c r="P31" s="12"/>
      <c r="Q31" s="12"/>
      <c r="R31" s="12"/>
      <c r="S31" s="300"/>
      <c r="T31" s="477"/>
      <c r="U31" s="302"/>
      <c r="V31" s="263" t="str">
        <f>IFERROR(IF(D31="tonnes/yr", $S31*$E31/($N$20*3.6), $T31*$E31*3.6/($N$20*3.6)), "Unfilled fields to left")</f>
        <v>Unfilled fields to left</v>
      </c>
      <c r="X31" s="21"/>
    </row>
    <row r="32" spans="2:29">
      <c r="C32" s="17"/>
      <c r="D32" s="17"/>
      <c r="E32" s="140"/>
      <c r="F32" s="17"/>
      <c r="H32" s="18"/>
      <c r="I32" s="18"/>
      <c r="J32" s="40"/>
      <c r="K32" s="40"/>
      <c r="L32" s="40"/>
      <c r="M32" s="40"/>
      <c r="O32" s="12"/>
      <c r="P32" s="12"/>
      <c r="S32" s="40"/>
      <c r="T32" s="40"/>
      <c r="U32" s="40"/>
      <c r="V32" s="140"/>
      <c r="Y32" s="12"/>
    </row>
    <row r="33" spans="2:25">
      <c r="D33" s="17"/>
      <c r="E33" s="140"/>
      <c r="J33" s="39"/>
      <c r="K33" s="39"/>
      <c r="L33" s="40"/>
      <c r="M33" s="40"/>
      <c r="O33" s="12"/>
      <c r="P33" s="12"/>
      <c r="S33" s="39"/>
      <c r="T33" s="39"/>
      <c r="U33" s="38" t="s">
        <v>1114</v>
      </c>
      <c r="V33" s="171">
        <f>SUM(V7:V32)</f>
        <v>0</v>
      </c>
      <c r="Y33" s="12"/>
    </row>
    <row r="34" spans="2:25">
      <c r="B34" s="145" t="s">
        <v>132</v>
      </c>
      <c r="C34" s="159"/>
      <c r="D34" s="159"/>
      <c r="E34" s="499"/>
      <c r="I34" s="12"/>
      <c r="J34" s="107"/>
      <c r="K34" s="107"/>
      <c r="L34" s="40"/>
      <c r="M34" s="40"/>
      <c r="O34" s="12"/>
      <c r="P34" s="12"/>
      <c r="S34" s="107"/>
      <c r="T34" s="107"/>
      <c r="U34" s="107"/>
      <c r="V34" s="107"/>
      <c r="Y34" s="12"/>
    </row>
    <row r="35" spans="2:25">
      <c r="B35" s="16" t="s">
        <v>1086</v>
      </c>
      <c r="C35" s="15" t="s">
        <v>1087</v>
      </c>
      <c r="D35" s="15" t="s">
        <v>1088</v>
      </c>
      <c r="E35" s="501"/>
      <c r="G35" s="19"/>
      <c r="H35" s="12"/>
      <c r="I35" s="12"/>
      <c r="J35" s="107"/>
      <c r="K35" s="107"/>
      <c r="L35" s="40"/>
      <c r="M35" s="40"/>
      <c r="O35" s="12"/>
      <c r="P35" s="12"/>
      <c r="S35" s="107"/>
      <c r="T35" s="107"/>
      <c r="U35" s="107"/>
      <c r="V35" s="12"/>
      <c r="X35" s="25"/>
      <c r="Y35" s="12"/>
    </row>
    <row r="36" spans="2:25">
      <c r="B36" s="16"/>
      <c r="C36" s="15"/>
      <c r="D36" s="15"/>
      <c r="E36" s="507"/>
      <c r="H36" s="12"/>
      <c r="I36" s="12"/>
      <c r="J36" s="107"/>
      <c r="K36" s="107"/>
      <c r="L36" s="39"/>
      <c r="M36" s="39"/>
      <c r="O36" s="12"/>
      <c r="P36" s="12"/>
      <c r="S36" s="107"/>
      <c r="T36" s="107"/>
      <c r="U36" s="107"/>
      <c r="V36" s="12"/>
      <c r="X36" s="25"/>
      <c r="Y36" s="12"/>
    </row>
    <row r="37" spans="2:25">
      <c r="B37" s="16"/>
      <c r="C37" s="15"/>
      <c r="D37" s="15"/>
      <c r="E37" s="507"/>
      <c r="J37" s="39"/>
      <c r="K37" s="39"/>
      <c r="L37" s="107"/>
      <c r="M37" s="107"/>
      <c r="N37" s="107"/>
      <c r="S37" s="39"/>
      <c r="T37" s="39"/>
      <c r="U37" s="39"/>
      <c r="V37" s="107"/>
      <c r="X37" s="25"/>
    </row>
    <row r="38" spans="2:25">
      <c r="B38" s="16"/>
      <c r="C38" s="15"/>
      <c r="D38" s="15"/>
      <c r="E38" s="507"/>
      <c r="J38" s="39"/>
      <c r="K38" s="39"/>
      <c r="L38" s="107"/>
      <c r="M38" s="107"/>
      <c r="N38" s="107"/>
      <c r="S38" s="39"/>
      <c r="T38" s="39"/>
      <c r="U38" s="39"/>
      <c r="V38" s="107"/>
      <c r="X38" s="25"/>
    </row>
    <row r="39" spans="2:25">
      <c r="E39" s="107"/>
      <c r="J39" s="39"/>
      <c r="K39" s="39"/>
      <c r="L39" s="107"/>
      <c r="M39" s="107"/>
      <c r="N39" s="107"/>
      <c r="S39" s="39"/>
      <c r="T39" s="39"/>
      <c r="U39" s="39"/>
      <c r="V39" s="107"/>
    </row>
    <row r="40" spans="2:25">
      <c r="E40" s="107"/>
      <c r="J40" s="39"/>
      <c r="K40" s="39"/>
      <c r="L40" s="39"/>
      <c r="M40" s="39"/>
      <c r="S40" s="39"/>
      <c r="T40" s="39"/>
      <c r="U40" s="39"/>
      <c r="V40" s="107"/>
    </row>
    <row r="41" spans="2:25">
      <c r="E41" s="107"/>
      <c r="J41" s="39"/>
      <c r="K41" s="39"/>
      <c r="L41" s="39"/>
      <c r="M41" s="39"/>
      <c r="S41" s="39"/>
      <c r="T41" s="39"/>
      <c r="U41" s="39"/>
      <c r="V41" s="107"/>
    </row>
    <row r="42" spans="2:25">
      <c r="E42" s="107"/>
      <c r="J42" s="39"/>
      <c r="K42" s="39"/>
      <c r="L42" s="39"/>
      <c r="M42" s="39"/>
      <c r="S42" s="39"/>
      <c r="T42" s="39"/>
      <c r="U42" s="39"/>
      <c r="V42" s="107"/>
    </row>
    <row r="43" spans="2:25">
      <c r="E43" s="107"/>
      <c r="J43" s="39"/>
      <c r="K43" s="39"/>
      <c r="L43" s="39"/>
      <c r="M43" s="39"/>
      <c r="S43" s="39"/>
      <c r="T43" s="39"/>
      <c r="U43" s="39"/>
      <c r="V43" s="107"/>
    </row>
    <row r="44" spans="2:25">
      <c r="E44" s="107"/>
      <c r="J44" s="39"/>
      <c r="K44" s="39"/>
      <c r="L44" s="39"/>
      <c r="M44" s="39"/>
      <c r="S44" s="39"/>
      <c r="T44" s="39"/>
      <c r="U44" s="39"/>
      <c r="V44" s="107"/>
    </row>
    <row r="45" spans="2:25">
      <c r="E45" s="107"/>
      <c r="J45" s="39"/>
      <c r="K45" s="39"/>
      <c r="L45" s="39"/>
      <c r="M45" s="39"/>
      <c r="S45" s="39"/>
      <c r="T45" s="39"/>
      <c r="U45" s="39"/>
      <c r="V45" s="107"/>
    </row>
    <row r="46" spans="2:25">
      <c r="E46" s="107"/>
      <c r="J46" s="39"/>
      <c r="K46" s="39"/>
      <c r="L46" s="39"/>
      <c r="M46" s="39"/>
      <c r="S46" s="39"/>
      <c r="T46" s="39"/>
      <c r="U46" s="39"/>
      <c r="V46" s="107"/>
    </row>
    <row r="47" spans="2:25">
      <c r="E47" s="107"/>
      <c r="J47" s="39"/>
      <c r="K47" s="39"/>
      <c r="L47" s="39"/>
      <c r="M47" s="39"/>
      <c r="S47" s="39"/>
      <c r="T47" s="39"/>
      <c r="U47" s="39"/>
      <c r="V47" s="107"/>
    </row>
    <row r="48" spans="2:25">
      <c r="E48" s="107"/>
      <c r="J48" s="39"/>
      <c r="K48" s="39"/>
      <c r="L48" s="39"/>
      <c r="M48" s="39"/>
      <c r="S48" s="39"/>
      <c r="T48" s="39"/>
      <c r="U48" s="39"/>
      <c r="V48" s="107"/>
    </row>
    <row r="49" spans="5:22">
      <c r="E49" s="107"/>
      <c r="J49" s="39"/>
      <c r="K49" s="39"/>
      <c r="L49" s="39"/>
      <c r="M49" s="39"/>
      <c r="S49" s="39"/>
      <c r="T49" s="39"/>
      <c r="U49" s="39"/>
      <c r="V49" s="107"/>
    </row>
    <row r="50" spans="5:22">
      <c r="E50" s="107"/>
      <c r="J50" s="39"/>
      <c r="K50" s="39"/>
      <c r="L50" s="39"/>
      <c r="M50" s="39"/>
      <c r="S50" s="39"/>
      <c r="T50" s="39"/>
      <c r="U50" s="39"/>
      <c r="V50" s="107"/>
    </row>
    <row r="51" spans="5:22">
      <c r="E51" s="107"/>
      <c r="J51" s="39"/>
      <c r="K51" s="39"/>
      <c r="L51" s="39"/>
      <c r="M51" s="39"/>
      <c r="S51" s="39"/>
      <c r="T51" s="39"/>
      <c r="U51" s="39"/>
      <c r="V51" s="107"/>
    </row>
    <row r="52" spans="5:22">
      <c r="E52" s="107"/>
      <c r="J52" s="39"/>
      <c r="K52" s="39"/>
      <c r="L52" s="39"/>
      <c r="M52" s="39"/>
      <c r="S52" s="39"/>
      <c r="T52" s="39"/>
      <c r="U52" s="39"/>
      <c r="V52" s="107"/>
    </row>
    <row r="53" spans="5:22">
      <c r="E53" s="107"/>
      <c r="J53" s="39"/>
      <c r="K53" s="39"/>
      <c r="L53" s="39"/>
      <c r="M53" s="39"/>
      <c r="S53" s="39"/>
      <c r="T53" s="39"/>
      <c r="U53" s="39"/>
      <c r="V53" s="107"/>
    </row>
    <row r="54" spans="5:22">
      <c r="E54" s="107"/>
      <c r="J54" s="39"/>
      <c r="K54" s="39"/>
      <c r="L54" s="39"/>
      <c r="M54" s="39"/>
      <c r="S54" s="39"/>
      <c r="T54" s="39"/>
      <c r="U54" s="39"/>
      <c r="V54" s="107"/>
    </row>
    <row r="55" spans="5:22">
      <c r="E55" s="107"/>
      <c r="J55" s="39"/>
      <c r="K55" s="39"/>
      <c r="L55" s="39"/>
      <c r="M55" s="39"/>
      <c r="S55" s="39"/>
      <c r="T55" s="39"/>
      <c r="U55" s="39"/>
      <c r="V55" s="107"/>
    </row>
    <row r="56" spans="5:22">
      <c r="E56" s="107"/>
      <c r="J56" s="39"/>
      <c r="K56" s="39"/>
      <c r="L56" s="39"/>
      <c r="M56" s="39"/>
      <c r="S56" s="39"/>
      <c r="T56" s="39"/>
      <c r="U56" s="39"/>
      <c r="V56" s="107"/>
    </row>
    <row r="57" spans="5:22">
      <c r="E57" s="107"/>
      <c r="J57" s="39"/>
      <c r="K57" s="39"/>
      <c r="L57" s="39"/>
      <c r="M57" s="39"/>
      <c r="S57" s="39"/>
      <c r="T57" s="39"/>
      <c r="U57" s="39"/>
      <c r="V57" s="107"/>
    </row>
    <row r="58" spans="5:22">
      <c r="E58" s="107"/>
      <c r="J58" s="39"/>
      <c r="K58" s="39"/>
      <c r="L58" s="39"/>
      <c r="M58" s="39"/>
      <c r="S58" s="39"/>
      <c r="T58" s="39"/>
      <c r="U58" s="39"/>
      <c r="V58" s="107"/>
    </row>
    <row r="59" spans="5:22">
      <c r="E59" s="107"/>
      <c r="J59" s="39"/>
      <c r="K59" s="39"/>
      <c r="L59" s="39"/>
      <c r="M59" s="39"/>
      <c r="S59" s="39"/>
      <c r="T59" s="39"/>
      <c r="U59" s="39"/>
      <c r="V59" s="107"/>
    </row>
    <row r="60" spans="5:22">
      <c r="E60" s="107"/>
      <c r="J60" s="39"/>
      <c r="K60" s="39"/>
      <c r="L60" s="39"/>
      <c r="M60" s="39"/>
      <c r="S60" s="39"/>
      <c r="T60" s="39"/>
      <c r="U60" s="39"/>
      <c r="V60" s="107"/>
    </row>
    <row r="61" spans="5:22">
      <c r="E61" s="107"/>
      <c r="J61" s="39"/>
      <c r="K61" s="39"/>
      <c r="L61" s="39"/>
      <c r="M61" s="39"/>
      <c r="S61" s="39"/>
      <c r="T61" s="39"/>
      <c r="U61" s="39"/>
      <c r="V61" s="107"/>
    </row>
    <row r="62" spans="5:22">
      <c r="E62" s="107"/>
      <c r="J62" s="39"/>
      <c r="K62" s="39"/>
      <c r="L62" s="39"/>
      <c r="M62" s="39"/>
      <c r="S62" s="39"/>
      <c r="T62" s="39"/>
      <c r="U62" s="39"/>
      <c r="V62" s="107"/>
    </row>
    <row r="63" spans="5:22">
      <c r="E63" s="107"/>
      <c r="J63" s="39"/>
      <c r="K63" s="39"/>
      <c r="L63" s="39"/>
      <c r="M63" s="39"/>
      <c r="S63" s="39"/>
      <c r="T63" s="39"/>
      <c r="U63" s="39"/>
      <c r="V63" s="107"/>
    </row>
    <row r="64" spans="5:22">
      <c r="E64" s="107"/>
      <c r="J64" s="39"/>
      <c r="K64" s="39"/>
      <c r="L64" s="39"/>
      <c r="M64" s="39"/>
      <c r="S64" s="39"/>
      <c r="T64" s="39"/>
      <c r="U64" s="39"/>
      <c r="V64" s="107"/>
    </row>
    <row r="65" spans="5:22">
      <c r="E65" s="107"/>
      <c r="J65" s="39"/>
      <c r="K65" s="39"/>
      <c r="L65" s="39"/>
      <c r="M65" s="39"/>
      <c r="S65" s="39"/>
      <c r="T65" s="39"/>
      <c r="U65" s="39"/>
      <c r="V65" s="107"/>
    </row>
    <row r="66" spans="5:22">
      <c r="E66" s="107"/>
      <c r="J66" s="39"/>
      <c r="K66" s="39"/>
      <c r="L66" s="39"/>
      <c r="M66" s="39"/>
      <c r="S66" s="39"/>
      <c r="T66" s="39"/>
      <c r="U66" s="39"/>
      <c r="V66" s="107"/>
    </row>
    <row r="67" spans="5:22">
      <c r="E67" s="107"/>
      <c r="J67" s="39"/>
      <c r="K67" s="39"/>
      <c r="L67" s="39"/>
      <c r="M67" s="39"/>
      <c r="S67" s="39"/>
      <c r="T67" s="39"/>
      <c r="U67" s="39"/>
      <c r="V67" s="107"/>
    </row>
    <row r="68" spans="5:22">
      <c r="E68" s="107"/>
      <c r="J68" s="39"/>
      <c r="K68" s="39"/>
      <c r="L68" s="39"/>
      <c r="M68" s="39"/>
      <c r="S68" s="39"/>
      <c r="T68" s="39"/>
      <c r="U68" s="39"/>
      <c r="V68" s="107"/>
    </row>
    <row r="69" spans="5:22">
      <c r="E69" s="107"/>
      <c r="J69" s="39"/>
      <c r="K69" s="39"/>
      <c r="L69" s="39"/>
      <c r="M69" s="39"/>
      <c r="S69" s="39"/>
      <c r="T69" s="39"/>
      <c r="U69" s="39"/>
      <c r="V69" s="107"/>
    </row>
    <row r="70" spans="5:22">
      <c r="E70" s="107"/>
      <c r="J70" s="39"/>
      <c r="K70" s="39"/>
      <c r="L70" s="39"/>
      <c r="M70" s="39"/>
      <c r="S70" s="39"/>
      <c r="T70" s="39"/>
      <c r="U70" s="39"/>
      <c r="V70" s="107"/>
    </row>
    <row r="71" spans="5:22">
      <c r="E71" s="107"/>
      <c r="J71" s="39"/>
      <c r="K71" s="39"/>
      <c r="L71" s="39"/>
      <c r="M71" s="39"/>
      <c r="S71" s="39"/>
      <c r="T71" s="39"/>
      <c r="U71" s="39"/>
      <c r="V71" s="107"/>
    </row>
    <row r="72" spans="5:22">
      <c r="E72" s="107"/>
      <c r="J72" s="39"/>
      <c r="K72" s="39"/>
      <c r="L72" s="39"/>
      <c r="M72" s="39"/>
      <c r="S72" s="39"/>
      <c r="T72" s="39"/>
      <c r="U72" s="39"/>
      <c r="V72" s="107"/>
    </row>
    <row r="73" spans="5:22">
      <c r="E73" s="107"/>
      <c r="J73" s="39"/>
      <c r="K73" s="39"/>
      <c r="L73" s="39"/>
      <c r="M73" s="39"/>
      <c r="S73" s="39"/>
      <c r="T73" s="39"/>
      <c r="U73" s="39"/>
      <c r="V73" s="107"/>
    </row>
    <row r="74" spans="5:22">
      <c r="E74" s="107"/>
      <c r="J74" s="39"/>
      <c r="K74" s="39"/>
      <c r="L74" s="39"/>
      <c r="M74" s="39"/>
      <c r="S74" s="39"/>
      <c r="T74" s="39"/>
      <c r="U74" s="39"/>
    </row>
    <row r="75" spans="5:22">
      <c r="E75" s="107"/>
      <c r="J75" s="39"/>
      <c r="K75" s="39"/>
      <c r="L75" s="39"/>
      <c r="M75" s="39"/>
      <c r="S75" s="39"/>
      <c r="T75" s="39"/>
      <c r="U75" s="39"/>
    </row>
    <row r="76" spans="5:22">
      <c r="E76" s="107"/>
      <c r="J76" s="39"/>
      <c r="K76" s="39"/>
      <c r="L76" s="39"/>
      <c r="M76" s="39"/>
      <c r="S76" s="39"/>
      <c r="T76" s="39"/>
      <c r="U76" s="39"/>
    </row>
    <row r="77" spans="5:22">
      <c r="E77" s="107"/>
      <c r="J77" s="39"/>
      <c r="K77" s="39"/>
      <c r="L77" s="39"/>
      <c r="M77" s="39"/>
      <c r="S77" s="39"/>
      <c r="T77" s="39"/>
      <c r="U77" s="39"/>
    </row>
    <row r="78" spans="5:22">
      <c r="E78" s="107"/>
      <c r="J78" s="39"/>
      <c r="K78" s="39"/>
      <c r="L78" s="39"/>
      <c r="M78" s="39"/>
      <c r="S78" s="39"/>
      <c r="T78" s="39"/>
      <c r="U78" s="39"/>
    </row>
    <row r="79" spans="5:22">
      <c r="E79" s="107"/>
      <c r="J79" s="39"/>
      <c r="K79" s="39"/>
      <c r="L79" s="39"/>
      <c r="M79" s="39"/>
      <c r="S79" s="39"/>
      <c r="T79" s="39"/>
      <c r="U79" s="39"/>
    </row>
    <row r="80" spans="5:22">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L122" s="39"/>
      <c r="M122" s="39"/>
      <c r="S122" s="39"/>
      <c r="T122" s="39"/>
      <c r="U122" s="39"/>
    </row>
    <row r="123" spans="5:21">
      <c r="E123" s="107"/>
      <c r="L123" s="39"/>
      <c r="M123" s="39"/>
      <c r="S123" s="39"/>
      <c r="T123" s="39"/>
      <c r="U123" s="39"/>
    </row>
    <row r="124" spans="5:21">
      <c r="E124" s="107"/>
      <c r="L124" s="39"/>
      <c r="M124" s="39"/>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I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pane xSplit="3" ySplit="5" topLeftCell="I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2DAF523B-EE2C-403A-8C39-AEA5E2C1BB58}">
      <formula1>Flow_units</formula1>
    </dataValidation>
    <dataValidation type="custom" allowBlank="1" showInputMessage="1" showErrorMessage="1" error="Please do not change this formula" prompt="Please do not change this formula" sqref="V6:V1048576 W4 V1:V4 O6:Q1048576 R6:R19 R23:R1048576 N1:N1048576 O1:R4 S5:V5" xr:uid="{2C2CF494-000F-49B2-83A8-62DB94D52366}">
      <formula1>"Please do not change this formula"</formula1>
    </dataValidation>
    <dataValidation type="custom" allowBlank="1" showInputMessage="1" showErrorMessage="1" error="Please do not change" sqref="R20:R22" xr:uid="{29FD9F3F-CC31-4892-AA8A-9E515AE2B3F6}">
      <formula1>"Please do not change"</formula1>
    </dataValidation>
    <dataValidation type="custom" allowBlank="1" showInputMessage="1" showErrorMessage="1" error="Please do not change this formula" sqref="O5:R5" xr:uid="{F7A60725-AE02-463E-B7CA-B88264E1E9C6}">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D3F2F2F5-B806-46E3-A623-410FB06BCA6F}">
      <formula1>0</formula1>
    </dataValidation>
  </dataValidations>
  <hyperlinks>
    <hyperlink ref="I2:J2" location="Generic_Feedstock_Transport!A1" display="Go to the next step of this pathway" xr:uid="{56A5ABD4-7091-46D3-B947-AA3E33163B8C}"/>
  </hyperlinks>
  <pageMargins left="0" right="0" top="0" bottom="0" header="0" footer="0"/>
  <pageSetup paperSize="9" orientation="portrait" r:id="rId10"/>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2" id="{F40D73F2-A703-4AE6-A0C7-AE5670CCF44F}">
            <xm:f>AND(Path&lt;&gt;Units!$B$139,Master_Switch="On")</xm:f>
            <x14:dxf>
              <font>
                <color theme="0"/>
              </font>
              <fill>
                <patternFill>
                  <bgColor theme="0"/>
                </patternFill>
              </fill>
              <border>
                <left/>
                <right/>
                <top/>
                <bottom/>
                <vertical/>
                <horizontal/>
              </border>
            </x14:dxf>
          </x14:cfRule>
          <xm:sqref>A2:XFD200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19BE7-A53C-4BC3-A845-BE45B08504F1}">
  <sheetPr codeName="Sheet42">
    <tabColor theme="8" tint="0.59999389629810485"/>
  </sheetPr>
  <dimension ref="B1:AC154"/>
  <sheetViews>
    <sheetView showGridLines="0" zoomScaleNormal="100" workbookViewId="0"/>
  </sheetViews>
  <sheetFormatPr defaultRowHeight="14.5"/>
  <cols>
    <col min="3" max="3" width="9.81640625" customWidth="1"/>
  </cols>
  <sheetData>
    <row r="1" spans="2:29" ht="15" thickBot="1">
      <c r="B1" s="3" t="s">
        <v>142</v>
      </c>
      <c r="C1" s="3"/>
      <c r="D1" s="3"/>
    </row>
    <row r="2" spans="2:29" ht="15.5" thickTop="1" thickBot="1">
      <c r="B2" s="177" t="s">
        <v>143</v>
      </c>
      <c r="C2" s="177"/>
      <c r="D2" s="177"/>
      <c r="E2" s="177"/>
      <c r="F2" s="177"/>
      <c r="G2" s="177"/>
      <c r="H2" s="177"/>
    </row>
    <row r="4" spans="2:29">
      <c r="B4" s="30" t="s">
        <v>106</v>
      </c>
    </row>
    <row r="5" spans="2:29">
      <c r="B5" s="57"/>
      <c r="C5" s="635" t="s">
        <v>144</v>
      </c>
      <c r="D5" s="636"/>
      <c r="E5" s="636"/>
      <c r="F5" s="636"/>
      <c r="G5" s="636"/>
      <c r="H5" s="636"/>
      <c r="I5" s="636"/>
      <c r="J5" s="637"/>
    </row>
    <row r="6" spans="2:29">
      <c r="B6" s="31"/>
      <c r="C6" s="638" t="s">
        <v>145</v>
      </c>
      <c r="D6" s="639"/>
      <c r="E6" s="639"/>
      <c r="F6" s="639"/>
      <c r="G6" s="639"/>
      <c r="H6" s="639"/>
      <c r="I6" s="639"/>
      <c r="J6" s="640"/>
    </row>
    <row r="9" spans="2:29" ht="15" thickBot="1">
      <c r="B9" s="176" t="s">
        <v>146</v>
      </c>
      <c r="C9" s="176"/>
      <c r="D9" s="176"/>
    </row>
    <row r="10" spans="2:29" ht="15" thickTop="1">
      <c r="B10" s="643" t="s">
        <v>147</v>
      </c>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row>
    <row r="34" spans="2:4" ht="15" thickBot="1">
      <c r="B34" s="176" t="s">
        <v>148</v>
      </c>
      <c r="C34" s="176"/>
      <c r="D34" s="176"/>
    </row>
    <row r="35" spans="2:4" ht="15" thickTop="1"/>
    <row r="63" spans="2:5" ht="15" thickBot="1">
      <c r="B63" s="176" t="s">
        <v>149</v>
      </c>
      <c r="C63" s="176"/>
      <c r="D63" s="176"/>
      <c r="E63" s="176"/>
    </row>
    <row r="64" spans="2:5" ht="15" thickTop="1"/>
    <row r="65" spans="2:23" ht="39.65" customHeight="1">
      <c r="B65" s="643" t="s">
        <v>150</v>
      </c>
      <c r="C65" s="643"/>
      <c r="D65" s="643"/>
      <c r="E65" s="643"/>
      <c r="F65" s="643"/>
      <c r="G65" s="643"/>
      <c r="H65" s="643"/>
      <c r="I65" s="643"/>
      <c r="J65" s="643"/>
      <c r="K65" s="643"/>
      <c r="L65" s="643"/>
      <c r="M65" s="643"/>
      <c r="N65" s="643"/>
      <c r="O65" s="643"/>
      <c r="P65" s="643"/>
      <c r="Q65" s="643"/>
      <c r="R65" s="643"/>
      <c r="S65" s="643"/>
      <c r="T65" s="643"/>
      <c r="U65" s="643"/>
      <c r="V65" s="643"/>
      <c r="W65" s="643"/>
    </row>
    <row r="66" spans="2:23">
      <c r="B66" s="320"/>
      <c r="C66" s="320"/>
      <c r="D66" s="320"/>
      <c r="E66" s="320"/>
      <c r="F66" s="320"/>
      <c r="G66" s="320"/>
      <c r="H66" s="320"/>
      <c r="I66" s="320"/>
      <c r="J66" s="320"/>
      <c r="K66" s="320"/>
      <c r="L66" s="320"/>
      <c r="M66" s="320"/>
      <c r="N66" s="320"/>
      <c r="O66" s="320"/>
      <c r="P66" s="320"/>
      <c r="Q66" s="320"/>
      <c r="R66" s="320"/>
      <c r="S66" s="320"/>
      <c r="T66" s="320"/>
      <c r="U66" s="320"/>
      <c r="V66" s="320"/>
      <c r="W66" s="320"/>
    </row>
    <row r="67" spans="2:23" ht="14.5" customHeight="1">
      <c r="B67" t="s">
        <v>151</v>
      </c>
      <c r="C67" s="81"/>
      <c r="D67" s="81"/>
      <c r="E67" s="81"/>
      <c r="F67" s="81"/>
      <c r="G67" s="81"/>
      <c r="H67" s="81"/>
      <c r="I67" s="81"/>
      <c r="J67" s="81"/>
      <c r="K67" s="81"/>
      <c r="L67" s="81"/>
      <c r="M67" s="81"/>
      <c r="N67" s="81"/>
      <c r="O67" s="81"/>
      <c r="P67" s="81"/>
      <c r="Q67" s="81"/>
      <c r="R67" s="81"/>
      <c r="S67" s="81"/>
      <c r="T67" s="81"/>
      <c r="U67" s="81"/>
      <c r="V67" s="81"/>
      <c r="W67" s="81"/>
    </row>
    <row r="81" spans="2:2">
      <c r="B81" t="s">
        <v>152</v>
      </c>
    </row>
    <row r="101" spans="2:11" ht="17" thickBot="1">
      <c r="B101" s="176" t="s">
        <v>153</v>
      </c>
      <c r="C101" s="176"/>
      <c r="D101" s="176"/>
      <c r="E101" s="176"/>
      <c r="F101" s="176"/>
      <c r="G101" s="176"/>
      <c r="H101" s="176"/>
      <c r="I101" s="176"/>
      <c r="J101" s="176"/>
      <c r="K101" s="176"/>
    </row>
    <row r="102" spans="2:11" ht="15" thickTop="1"/>
    <row r="118" spans="2:23">
      <c r="B118" s="643" t="s">
        <v>154</v>
      </c>
      <c r="C118" s="643"/>
      <c r="D118" s="643"/>
      <c r="E118" s="643"/>
      <c r="F118" s="643"/>
      <c r="G118" s="643"/>
      <c r="H118" s="643"/>
      <c r="I118" s="643"/>
      <c r="J118" s="643"/>
      <c r="K118" s="643"/>
      <c r="L118" s="643"/>
      <c r="M118" s="643"/>
      <c r="N118" s="643"/>
      <c r="O118" s="643"/>
      <c r="P118" s="643"/>
      <c r="Q118" s="643"/>
      <c r="R118" s="643"/>
      <c r="S118" s="643"/>
      <c r="T118" s="643"/>
      <c r="U118" s="643"/>
      <c r="V118" s="643"/>
      <c r="W118" s="643"/>
    </row>
    <row r="125" spans="2:23">
      <c r="M125" s="28"/>
    </row>
    <row r="131" spans="2:12" ht="17" thickBot="1">
      <c r="B131" s="176" t="s">
        <v>155</v>
      </c>
      <c r="C131" s="176"/>
      <c r="D131" s="176"/>
      <c r="E131" s="176"/>
      <c r="F131" s="176"/>
      <c r="G131" s="176"/>
      <c r="H131" s="176"/>
      <c r="I131" s="176"/>
      <c r="J131" s="176"/>
      <c r="K131" s="176"/>
      <c r="L131" s="176"/>
    </row>
    <row r="132" spans="2:12" ht="15" thickTop="1"/>
    <row r="149" spans="2:23">
      <c r="B149" s="643" t="s">
        <v>156</v>
      </c>
      <c r="C149" s="643"/>
      <c r="D149" s="643"/>
      <c r="E149" s="643"/>
      <c r="F149" s="643"/>
      <c r="G149" s="643"/>
      <c r="H149" s="643"/>
      <c r="I149" s="643"/>
      <c r="J149" s="643"/>
      <c r="K149" s="643"/>
      <c r="L149" s="643"/>
      <c r="M149" s="643"/>
      <c r="N149" s="643"/>
      <c r="O149" s="643"/>
      <c r="P149" s="643"/>
      <c r="Q149" s="643"/>
      <c r="R149" s="643"/>
      <c r="S149" s="643"/>
      <c r="T149" s="643"/>
      <c r="U149" s="643"/>
      <c r="V149" s="643"/>
      <c r="W149" s="643"/>
    </row>
    <row r="154" spans="2:23" ht="28" customHeight="1">
      <c r="B154" s="643" t="s">
        <v>157</v>
      </c>
      <c r="C154" s="643"/>
      <c r="D154" s="643"/>
      <c r="E154" s="643"/>
      <c r="F154" s="643"/>
      <c r="G154" s="643"/>
      <c r="H154" s="643"/>
      <c r="I154" s="643"/>
      <c r="J154" s="643"/>
      <c r="K154" s="643"/>
      <c r="L154" s="643"/>
      <c r="M154" s="643"/>
      <c r="N154" s="643"/>
      <c r="O154" s="643"/>
      <c r="P154" s="643"/>
      <c r="Q154" s="643"/>
      <c r="R154" s="643"/>
      <c r="S154" s="643"/>
      <c r="T154" s="643"/>
      <c r="U154" s="643"/>
      <c r="V154" s="643"/>
      <c r="W154" s="643"/>
    </row>
  </sheetData>
  <customSheetViews>
    <customSheetView guid="{2D920366-22B2-4182-A65D-0EDBE614FB37}" showGridLines="0">
      <pageMargins left="0" right="0" top="0" bottom="0" header="0" footer="0"/>
    </customSheetView>
    <customSheetView guid="{F468A2FD-7987-4A9D-8BAE-1AACE523607F}" showGridLines="0">
      <selection activeCell="D1" sqref="D1"/>
      <pageMargins left="0" right="0" top="0" bottom="0" header="0" footer="0"/>
    </customSheetView>
    <customSheetView guid="{D97B1299-69D0-4EE0-B673-CCF74742F96B}">
      <selection activeCell="D2" sqref="D2"/>
      <pageMargins left="0" right="0" top="0" bottom="0" header="0" footer="0"/>
    </customSheetView>
    <customSheetView guid="{3F0A4FBA-5323-448F-A023-B3E14C54064C}" showGridLines="0">
      <selection activeCell="D2" sqref="D2"/>
      <pageMargins left="0" right="0" top="0" bottom="0" header="0" footer="0"/>
    </customSheetView>
    <customSheetView guid="{E6EFD927-84B2-4D06-BB59-59D9DF522DA2}" showGridLines="0">
      <selection activeCell="D1" sqref="D1"/>
      <pageMargins left="0" right="0" top="0" bottom="0" header="0" footer="0"/>
    </customSheetView>
    <customSheetView guid="{0E935136-9A80-44B6-88D5-61E64D742049}" showGridLines="0">
      <selection activeCell="D1" sqref="D1"/>
      <pageMargins left="0" right="0" top="0" bottom="0" header="0" footer="0"/>
    </customSheetView>
    <customSheetView guid="{1C16EB38-F785-4168-9938-104594734038}" showGridLines="0">
      <selection activeCell="D1" sqref="D1"/>
      <pageMargins left="0" right="0" top="0" bottom="0" header="0" footer="0"/>
    </customSheetView>
    <customSheetView guid="{EECBF9DF-6D77-4263-85DA-71E40216BADD}" showGridLines="0">
      <selection activeCell="D1" sqref="D1"/>
      <pageMargins left="0" right="0" top="0" bottom="0" header="0" footer="0"/>
    </customSheetView>
    <customSheetView guid="{F03309BC-D3FA-4CF2-833B-D6D9A95FE1FB}" showGridLines="0">
      <selection activeCell="D2" sqref="D2"/>
      <pageMargins left="0" right="0" top="0" bottom="0" header="0" footer="0"/>
    </customSheetView>
  </customSheetViews>
  <mergeCells count="7">
    <mergeCell ref="C5:J5"/>
    <mergeCell ref="C6:J6"/>
    <mergeCell ref="B118:W118"/>
    <mergeCell ref="B149:W149"/>
    <mergeCell ref="B154:W154"/>
    <mergeCell ref="B65:W65"/>
    <mergeCell ref="B10:AC10"/>
  </mergeCells>
  <pageMargins left="0" right="0" top="0" bottom="0" header="0" footer="0"/>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41D1B-2CC5-4580-85D8-FF3B4E986A03}">
  <sheetPr codeName="Sheet18">
    <tabColor theme="0" tint="-0.34998626667073579"/>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55"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18.453125" customWidth="1"/>
    <col min="16" max="16" width="9.54296875" customWidth="1"/>
    <col min="17" max="17" width="18.453125" customWidth="1"/>
    <col min="18" max="18" width="17.54296875" style="12" customWidth="1"/>
    <col min="19" max="20" width="20.7265625" style="13" customWidth="1"/>
    <col min="21" max="21" width="22.7265625" style="13" customWidth="1"/>
    <col min="22" max="22" width="20.26953125" style="39" customWidth="1"/>
    <col min="23" max="23" width="7.1796875" style="12" customWidth="1"/>
    <col min="24" max="24" width="26" style="12" customWidth="1"/>
    <col min="26" max="16384" width="7.1796875" style="12"/>
  </cols>
  <sheetData>
    <row r="1" spans="1:29" ht="31.9" customHeight="1">
      <c r="A1" s="80" t="str">
        <f>IF(AND(Path&lt;&gt;Units!$B$139,Master_Switch="On"),"User should not fill in this sheet, but switch to other non-blank GHG worksheets","")</f>
        <v>User should not fill in this sheet, but switch to other non-blank GHG worksheets</v>
      </c>
      <c r="E1" s="256"/>
    </row>
    <row r="2" spans="1:29" ht="20.5" customHeight="1">
      <c r="E2" s="256"/>
      <c r="I2" s="729" t="s">
        <v>1093</v>
      </c>
      <c r="J2" s="731"/>
      <c r="K2" s="732"/>
    </row>
    <row r="3" spans="1:29" ht="15" customHeight="1">
      <c r="E3" s="256"/>
    </row>
    <row r="4" spans="1:29" ht="15.65" customHeight="1" thickBot="1">
      <c r="B4" s="3"/>
      <c r="C4" s="3"/>
      <c r="D4" s="3"/>
      <c r="E4" s="455"/>
      <c r="F4" s="3"/>
      <c r="G4" s="3"/>
      <c r="H4" s="1"/>
      <c r="I4" s="1"/>
      <c r="J4" s="1"/>
      <c r="K4" s="1"/>
      <c r="L4" s="1"/>
      <c r="M4" s="1"/>
      <c r="N4" s="37"/>
      <c r="O4" s="1"/>
      <c r="P4" s="1"/>
      <c r="Q4" s="1"/>
      <c r="R4" s="3"/>
      <c r="S4" s="1"/>
      <c r="T4" s="1"/>
      <c r="U4" s="1"/>
      <c r="V4" s="37"/>
      <c r="W4" s="37"/>
      <c r="X4" s="3"/>
    </row>
    <row r="5" spans="1:29"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9" ht="15" thickTop="1">
      <c r="E6" s="457"/>
      <c r="R6"/>
      <c r="S6"/>
      <c r="T6"/>
      <c r="U6"/>
      <c r="V6"/>
    </row>
    <row r="7" spans="1:29">
      <c r="B7" s="145" t="s">
        <v>1097</v>
      </c>
      <c r="C7" s="145"/>
      <c r="D7" s="145"/>
      <c r="E7" s="324"/>
      <c r="F7" s="145"/>
      <c r="G7" s="145"/>
      <c r="H7" s="145"/>
      <c r="I7" s="145"/>
      <c r="J7" s="145"/>
      <c r="K7" s="145"/>
      <c r="L7" s="145"/>
      <c r="M7" s="145"/>
      <c r="N7" s="301"/>
      <c r="R7"/>
      <c r="S7"/>
      <c r="T7"/>
      <c r="U7"/>
      <c r="V7"/>
      <c r="W7" s="19"/>
      <c r="X7" s="19"/>
      <c r="Y7" s="19"/>
      <c r="Z7" s="19"/>
      <c r="AA7" s="19"/>
      <c r="AB7" s="19"/>
      <c r="AC7" s="19"/>
    </row>
    <row r="8" spans="1:29">
      <c r="B8" s="16" t="s">
        <v>1115</v>
      </c>
      <c r="C8" s="184" t="s">
        <v>1295</v>
      </c>
      <c r="D8" s="179" t="s">
        <v>459</v>
      </c>
      <c r="E8" s="35"/>
      <c r="F8" s="21"/>
      <c r="G8" s="21"/>
      <c r="H8" s="20"/>
      <c r="I8" s="20"/>
      <c r="J8" s="300"/>
      <c r="K8" s="302"/>
      <c r="L8" s="302"/>
      <c r="M8" s="302"/>
      <c r="N8" s="242">
        <f t="shared" ref="N8:N17" si="0">IF($D8="MWh/yr (LHV)",$E8,$J8*$E8*(1-$L8)/Conversion_kWh_to_MJ)</f>
        <v>0</v>
      </c>
      <c r="O8" s="12"/>
      <c r="P8" s="12"/>
      <c r="Q8" s="12"/>
      <c r="S8" s="107"/>
      <c r="T8" s="107"/>
      <c r="U8" s="107"/>
      <c r="V8" s="12"/>
      <c r="X8" s="24"/>
      <c r="Y8" s="12"/>
    </row>
    <row r="9" spans="1:29">
      <c r="B9" s="186" t="s">
        <v>1021</v>
      </c>
      <c r="C9" s="184" t="s">
        <v>1098</v>
      </c>
      <c r="D9" s="179" t="s">
        <v>479</v>
      </c>
      <c r="E9" s="35"/>
      <c r="F9" s="21"/>
      <c r="G9" s="21"/>
      <c r="H9" s="20"/>
      <c r="I9" s="36"/>
      <c r="J9" s="300"/>
      <c r="K9" s="302"/>
      <c r="L9" s="302"/>
      <c r="M9" s="302"/>
      <c r="N9" s="242">
        <f t="shared" si="0"/>
        <v>0</v>
      </c>
      <c r="O9" s="12"/>
      <c r="P9" s="12"/>
      <c r="Q9" s="12"/>
      <c r="S9" s="35" t="str">
        <f t="shared" ref="S9:S17" si="1">IF(B9="", "", IF(D9="MWh/yr (LHV)", "Use column to right", "Enter data here"))</f>
        <v>Use column to right</v>
      </c>
      <c r="T9" s="35" t="e">
        <f>INDEX(Proj_grid_intensity_kWh,MATCH(Operations_year,Proj_grid_year,0))/Conversion_kWh_to_MJ</f>
        <v>#N/A</v>
      </c>
      <c r="U9" s="35" t="s">
        <v>1064</v>
      </c>
      <c r="V9" s="263" t="str">
        <f t="shared" ref="V9:V17" si="2">IFERROR(IF(D9="tonnes/yr", $S9*$E9/($N$20*3.6), $T9*$E9*3.6/($N$20*3.6)), "Unfilled fields to left")</f>
        <v>Unfilled fields to left</v>
      </c>
      <c r="X9" s="25"/>
      <c r="Y9" s="12"/>
    </row>
    <row r="10" spans="1:29">
      <c r="B10" s="186" t="s">
        <v>1021</v>
      </c>
      <c r="C10" s="184"/>
      <c r="D10" s="179"/>
      <c r="E10" s="35"/>
      <c r="F10" s="21"/>
      <c r="G10" s="21"/>
      <c r="H10" s="20"/>
      <c r="I10" s="36"/>
      <c r="J10" s="300"/>
      <c r="K10" s="302"/>
      <c r="L10" s="302"/>
      <c r="M10" s="302"/>
      <c r="N10" s="242">
        <f t="shared" si="0"/>
        <v>0</v>
      </c>
      <c r="O10" s="12"/>
      <c r="P10" s="12"/>
      <c r="Q10" s="12"/>
      <c r="S10" s="35" t="str">
        <f t="shared" si="1"/>
        <v>Enter data here</v>
      </c>
      <c r="T10" s="35" t="str">
        <f t="shared" ref="T10:T17" si="3">IF(B10="", "", IF(D10="MWh/yr (LHV)", "Enter data here", "Use column to left"))</f>
        <v>Use column to left</v>
      </c>
      <c r="U10" s="35" t="s">
        <v>1100</v>
      </c>
      <c r="V10" s="263" t="str">
        <f t="shared" si="2"/>
        <v>Unfilled fields to left</v>
      </c>
      <c r="X10" s="25"/>
      <c r="Y10" s="12"/>
    </row>
    <row r="11" spans="1:29">
      <c r="B11" s="186" t="s">
        <v>1042</v>
      </c>
      <c r="C11" s="184" t="s">
        <v>1043</v>
      </c>
      <c r="D11" s="179" t="s">
        <v>459</v>
      </c>
      <c r="E11" s="35"/>
      <c r="F11" s="24"/>
      <c r="G11" s="21"/>
      <c r="H11" s="20"/>
      <c r="I11" s="36"/>
      <c r="J11" s="300"/>
      <c r="K11" s="302"/>
      <c r="L11" s="302"/>
      <c r="M11" s="302"/>
      <c r="N11" s="242">
        <f t="shared" si="0"/>
        <v>0</v>
      </c>
      <c r="O11" s="12"/>
      <c r="P11" s="12"/>
      <c r="Q11" s="12"/>
      <c r="S11" s="35" t="str">
        <f t="shared" si="1"/>
        <v>Enter data here</v>
      </c>
      <c r="T11" s="35" t="str">
        <f t="shared" si="3"/>
        <v>Use column to left</v>
      </c>
      <c r="U11" s="35" t="s">
        <v>1100</v>
      </c>
      <c r="V11" s="263" t="str">
        <f t="shared" si="2"/>
        <v>Unfilled fields to left</v>
      </c>
      <c r="X11" s="25"/>
      <c r="Y11" s="12"/>
    </row>
    <row r="12" spans="1:29">
      <c r="B12" s="186" t="s">
        <v>1042</v>
      </c>
      <c r="C12" s="184" t="s">
        <v>1045</v>
      </c>
      <c r="D12" s="179" t="s">
        <v>459</v>
      </c>
      <c r="E12" s="35"/>
      <c r="F12" s="21"/>
      <c r="G12" s="21"/>
      <c r="H12" s="20"/>
      <c r="I12" s="36"/>
      <c r="J12" s="300"/>
      <c r="K12" s="302"/>
      <c r="L12" s="302"/>
      <c r="M12" s="302"/>
      <c r="N12" s="242">
        <f t="shared" si="0"/>
        <v>0</v>
      </c>
      <c r="O12" s="12"/>
      <c r="P12" s="12"/>
      <c r="Q12" s="12"/>
      <c r="S12" s="35" t="str">
        <f t="shared" si="1"/>
        <v>Enter data here</v>
      </c>
      <c r="T12" s="35" t="str">
        <f t="shared" si="3"/>
        <v>Use column to left</v>
      </c>
      <c r="U12" s="35" t="s">
        <v>1100</v>
      </c>
      <c r="V12" s="263" t="str">
        <f t="shared" si="2"/>
        <v>Unfilled fields to left</v>
      </c>
      <c r="X12" s="25"/>
      <c r="Y12" s="12"/>
    </row>
    <row r="13" spans="1:29">
      <c r="B13" s="186" t="s">
        <v>1051</v>
      </c>
      <c r="C13" s="184" t="s">
        <v>1010</v>
      </c>
      <c r="D13" s="179" t="s">
        <v>459</v>
      </c>
      <c r="E13" s="35"/>
      <c r="F13" s="21"/>
      <c r="G13" s="21"/>
      <c r="H13" s="20"/>
      <c r="I13" s="36"/>
      <c r="J13" s="300"/>
      <c r="K13" s="302"/>
      <c r="L13" s="302"/>
      <c r="M13" s="302"/>
      <c r="N13" s="242">
        <f t="shared" si="0"/>
        <v>0</v>
      </c>
      <c r="O13" s="12"/>
      <c r="P13" s="12"/>
      <c r="Q13" s="12"/>
      <c r="S13" s="35" t="str">
        <f t="shared" si="1"/>
        <v>Enter data here</v>
      </c>
      <c r="T13" s="35" t="str">
        <f t="shared" si="3"/>
        <v>Use column to left</v>
      </c>
      <c r="U13" s="35" t="s">
        <v>1100</v>
      </c>
      <c r="V13" s="263" t="str">
        <f t="shared" si="2"/>
        <v>Unfilled fields to left</v>
      </c>
      <c r="X13" s="25"/>
      <c r="Y13" s="12"/>
    </row>
    <row r="14" spans="1:29">
      <c r="B14" s="186" t="s">
        <v>1051</v>
      </c>
      <c r="C14" s="184" t="s">
        <v>1101</v>
      </c>
      <c r="D14" s="179" t="s">
        <v>459</v>
      </c>
      <c r="E14" s="35"/>
      <c r="F14" s="21"/>
      <c r="G14" s="21"/>
      <c r="H14" s="20"/>
      <c r="I14" s="36"/>
      <c r="J14" s="300"/>
      <c r="K14" s="302"/>
      <c r="L14" s="302"/>
      <c r="M14" s="302"/>
      <c r="N14" s="242">
        <f t="shared" si="0"/>
        <v>0</v>
      </c>
      <c r="O14" s="12"/>
      <c r="P14" s="12"/>
      <c r="Q14" s="12"/>
      <c r="S14" s="35" t="str">
        <f t="shared" si="1"/>
        <v>Enter data here</v>
      </c>
      <c r="T14" s="35" t="str">
        <f t="shared" si="3"/>
        <v>Use column to left</v>
      </c>
      <c r="U14" s="35" t="s">
        <v>1100</v>
      </c>
      <c r="V14" s="263" t="str">
        <f t="shared" si="2"/>
        <v>Unfilled fields to left</v>
      </c>
      <c r="X14" s="25"/>
      <c r="Y14" s="12"/>
    </row>
    <row r="15" spans="1:29">
      <c r="B15" s="186" t="s">
        <v>1177</v>
      </c>
      <c r="C15" s="184" t="s">
        <v>1055</v>
      </c>
      <c r="D15" s="179" t="s">
        <v>459</v>
      </c>
      <c r="E15" s="35"/>
      <c r="F15" s="21"/>
      <c r="G15" s="21"/>
      <c r="H15" s="20"/>
      <c r="I15" s="36"/>
      <c r="J15" s="300"/>
      <c r="K15" s="302"/>
      <c r="L15" s="302"/>
      <c r="M15" s="302"/>
      <c r="N15" s="242">
        <f t="shared" si="0"/>
        <v>0</v>
      </c>
      <c r="O15" s="12"/>
      <c r="P15" s="12"/>
      <c r="Q15" s="12"/>
      <c r="S15" s="35" t="str">
        <f t="shared" si="1"/>
        <v>Enter data here</v>
      </c>
      <c r="T15" s="35" t="str">
        <f t="shared" si="3"/>
        <v>Use column to left</v>
      </c>
      <c r="U15" s="35" t="s">
        <v>1100</v>
      </c>
      <c r="V15" s="263" t="str">
        <f t="shared" si="2"/>
        <v>Unfilled fields to left</v>
      </c>
      <c r="X15" s="25"/>
      <c r="Y15" s="12"/>
    </row>
    <row r="16" spans="1:29">
      <c r="B16" s="186" t="s">
        <v>1177</v>
      </c>
      <c r="C16" s="184" t="s">
        <v>1213</v>
      </c>
      <c r="D16" s="179" t="s">
        <v>459</v>
      </c>
      <c r="E16" s="35"/>
      <c r="F16" s="21"/>
      <c r="G16" s="21"/>
      <c r="H16" s="20"/>
      <c r="I16" s="36"/>
      <c r="J16" s="300"/>
      <c r="K16" s="302"/>
      <c r="L16" s="302"/>
      <c r="M16" s="302"/>
      <c r="N16" s="242">
        <f t="shared" si="0"/>
        <v>0</v>
      </c>
      <c r="O16" s="12"/>
      <c r="P16" s="12"/>
      <c r="Q16" s="12"/>
      <c r="S16" s="35" t="str">
        <f t="shared" si="1"/>
        <v>Enter data here</v>
      </c>
      <c r="T16" s="35" t="str">
        <f t="shared" si="3"/>
        <v>Use column to left</v>
      </c>
      <c r="U16" s="35" t="s">
        <v>1100</v>
      </c>
      <c r="V16" s="263" t="str">
        <f t="shared" si="2"/>
        <v>Unfilled fields to left</v>
      </c>
      <c r="X16" s="25"/>
      <c r="Y16" s="12"/>
    </row>
    <row r="17" spans="2:29">
      <c r="B17" s="16"/>
      <c r="C17" s="15"/>
      <c r="D17" s="179"/>
      <c r="E17" s="35"/>
      <c r="F17" s="21"/>
      <c r="G17" s="21"/>
      <c r="H17" s="20"/>
      <c r="I17" s="36"/>
      <c r="J17" s="300"/>
      <c r="K17" s="302"/>
      <c r="L17" s="302"/>
      <c r="M17" s="302"/>
      <c r="N17" s="242">
        <f t="shared" si="0"/>
        <v>0</v>
      </c>
      <c r="O17" s="12"/>
      <c r="P17" s="12"/>
      <c r="Q17" s="12"/>
      <c r="S17" s="35" t="str">
        <f t="shared" si="1"/>
        <v/>
      </c>
      <c r="T17" s="35" t="str">
        <f t="shared" si="3"/>
        <v/>
      </c>
      <c r="U17" s="35"/>
      <c r="V17" s="263" t="str">
        <f t="shared" si="2"/>
        <v>Unfilled fields to left</v>
      </c>
      <c r="X17" s="25"/>
      <c r="Y17" s="12"/>
    </row>
    <row r="18" spans="2:29">
      <c r="C18" s="17"/>
      <c r="D18" s="17"/>
      <c r="E18" s="506"/>
      <c r="F18" s="26"/>
      <c r="G18" s="27"/>
      <c r="H18" s="22"/>
      <c r="I18" s="22"/>
      <c r="J18" s="41"/>
      <c r="K18" s="41"/>
      <c r="L18" s="41"/>
      <c r="M18" s="41"/>
      <c r="N18" s="41"/>
      <c r="O18" s="12"/>
      <c r="P18" s="12"/>
      <c r="Q18" s="12"/>
      <c r="S18" s="41"/>
      <c r="T18" s="41"/>
      <c r="U18" s="41"/>
      <c r="V18" s="139"/>
      <c r="X18" s="27"/>
      <c r="Y18" s="12"/>
    </row>
    <row r="19" spans="2:29">
      <c r="B19" s="145" t="s">
        <v>1103</v>
      </c>
      <c r="C19" s="145"/>
      <c r="D19" s="145"/>
      <c r="E19" s="301"/>
      <c r="F19" s="145"/>
      <c r="G19" s="145"/>
      <c r="H19" s="145"/>
      <c r="I19" s="145"/>
      <c r="J19" s="301"/>
      <c r="K19" s="301"/>
      <c r="L19" s="301"/>
      <c r="M19" s="301"/>
      <c r="N19" s="301"/>
      <c r="R19"/>
      <c r="S19" s="40"/>
      <c r="T19" s="40"/>
      <c r="U19" s="40"/>
      <c r="V19" s="140"/>
      <c r="W19" s="19"/>
      <c r="X19" s="19"/>
      <c r="Y19" s="19"/>
      <c r="Z19" s="19"/>
      <c r="AA19" s="19"/>
      <c r="AB19" s="19"/>
      <c r="AC19" s="19"/>
    </row>
    <row r="20" spans="2:29">
      <c r="B20" s="16" t="s">
        <v>1104</v>
      </c>
      <c r="C20" s="184" t="s">
        <v>1295</v>
      </c>
      <c r="D20" s="179" t="s">
        <v>459</v>
      </c>
      <c r="E20" s="35"/>
      <c r="F20" s="21"/>
      <c r="G20" s="21"/>
      <c r="H20" s="21"/>
      <c r="I20" s="21"/>
      <c r="J20" s="300"/>
      <c r="K20" s="306"/>
      <c r="L20" s="306"/>
      <c r="M20" s="306"/>
      <c r="N20" s="242">
        <f t="shared" ref="N20:N31" si="4">IF($D20="MWh/yr (LHV)",$E20,$J20*$E20*(1-$L20)/Conversion_kWh_to_MJ)</f>
        <v>0</v>
      </c>
      <c r="O20" s="246" t="str">
        <f>IFERROR(N20/N8,"")</f>
        <v/>
      </c>
      <c r="P20" s="12"/>
      <c r="Q20" s="515">
        <f>IF($D20="MWh/yr (LHV)",$E20,$E20*MAX(0, $J20*(1-$L20)-2.441*$L20)/Conversion_kWh_to_MJ)</f>
        <v>0</v>
      </c>
      <c r="R20" s="245" t="str">
        <f>IFERROR(Q20/(SUM($Q$20:$Q$22)),"")</f>
        <v/>
      </c>
      <c r="S20" s="42"/>
      <c r="T20" s="42"/>
      <c r="U20" s="42"/>
      <c r="V20" s="141"/>
      <c r="X20" s="21"/>
      <c r="Y20" s="12"/>
    </row>
    <row r="21" spans="2:29" s="14" customFormat="1">
      <c r="B21" s="186" t="s">
        <v>1008</v>
      </c>
      <c r="C21" s="184" t="s">
        <v>1106</v>
      </c>
      <c r="D21" s="179" t="s">
        <v>459</v>
      </c>
      <c r="E21" s="35"/>
      <c r="F21" s="21"/>
      <c r="G21" s="21"/>
      <c r="H21" s="20"/>
      <c r="I21" s="33"/>
      <c r="J21" s="300"/>
      <c r="K21" s="302"/>
      <c r="L21" s="302"/>
      <c r="M21" s="302"/>
      <c r="N21" s="242">
        <f t="shared" si="4"/>
        <v>0</v>
      </c>
      <c r="O21" s="12"/>
      <c r="P21" s="12"/>
      <c r="Q21" s="515">
        <f>IF($D21="MWh/yr (LHV)",$E21,$E21*MAX(0, $J21*(1-$L21)-2.441*$L21)/Conversion_kWh_to_MJ)</f>
        <v>0</v>
      </c>
      <c r="R21" s="245" t="str">
        <f t="shared" ref="R21:R22" si="5">IFERROR(Q21/(SUM($Q$20:$Q$22)),"")</f>
        <v/>
      </c>
      <c r="S21" s="42"/>
      <c r="T21" s="42"/>
      <c r="U21" s="107"/>
      <c r="V21" s="12"/>
      <c r="W21" s="23"/>
      <c r="X21" s="21"/>
      <c r="Y21" s="23"/>
      <c r="Z21" s="42"/>
      <c r="AB21" s="12"/>
    </row>
    <row r="22" spans="2:29" s="14" customFormat="1">
      <c r="B22" s="186" t="s">
        <v>1008</v>
      </c>
      <c r="C22" s="184" t="s">
        <v>1107</v>
      </c>
      <c r="D22" s="179" t="s">
        <v>459</v>
      </c>
      <c r="E22" s="35"/>
      <c r="F22" s="21"/>
      <c r="G22" s="21"/>
      <c r="H22" s="20"/>
      <c r="I22" s="20"/>
      <c r="J22" s="302"/>
      <c r="K22" s="302"/>
      <c r="L22" s="302"/>
      <c r="M22" s="302"/>
      <c r="N22" s="242">
        <f t="shared" si="4"/>
        <v>0</v>
      </c>
      <c r="O22" s="12"/>
      <c r="P22" s="12"/>
      <c r="Q22" s="515">
        <f>IF($D22="MWh/yr (LHV)",$E22,$E22*MAX(0, $J22*(1-$L22)-2.441*$L22)/Conversion_kWh_to_MJ)</f>
        <v>0</v>
      </c>
      <c r="R22" s="245" t="str">
        <f t="shared" si="5"/>
        <v/>
      </c>
      <c r="S22" s="42"/>
      <c r="T22" s="42"/>
      <c r="U22" s="107"/>
      <c r="V22" s="12"/>
      <c r="W22" s="23"/>
      <c r="X22" s="21"/>
      <c r="Y22" s="23"/>
      <c r="Z22" s="42"/>
      <c r="AB22" s="12"/>
    </row>
    <row r="23" spans="2:29" s="14" customFormat="1">
      <c r="B23" s="186" t="s">
        <v>1013</v>
      </c>
      <c r="C23" s="184" t="s">
        <v>1108</v>
      </c>
      <c r="D23" s="179" t="s">
        <v>459</v>
      </c>
      <c r="E23" s="35"/>
      <c r="F23" s="21"/>
      <c r="G23" s="21"/>
      <c r="H23" s="20"/>
      <c r="I23" s="20"/>
      <c r="J23" s="302"/>
      <c r="K23" s="302"/>
      <c r="L23" s="302"/>
      <c r="M23" s="302"/>
      <c r="N23" s="242">
        <f t="shared" si="4"/>
        <v>0</v>
      </c>
      <c r="O23" s="12"/>
      <c r="P23" s="12"/>
      <c r="Q23" s="12"/>
      <c r="R23" s="12"/>
      <c r="S23" s="107"/>
      <c r="T23" s="107"/>
      <c r="U23" s="107"/>
      <c r="V23" s="12"/>
      <c r="W23" s="23"/>
      <c r="X23" s="21"/>
      <c r="Y23" s="23"/>
      <c r="Z23" s="42"/>
      <c r="AB23" s="12"/>
    </row>
    <row r="24" spans="2:29" s="14" customFormat="1">
      <c r="B24" s="186" t="s">
        <v>1013</v>
      </c>
      <c r="C24" s="184" t="s">
        <v>1015</v>
      </c>
      <c r="D24" s="179" t="s">
        <v>459</v>
      </c>
      <c r="E24" s="35"/>
      <c r="F24" s="21"/>
      <c r="G24" s="21"/>
      <c r="H24" s="20"/>
      <c r="I24" s="20"/>
      <c r="J24" s="302"/>
      <c r="K24" s="302"/>
      <c r="L24" s="302"/>
      <c r="M24" s="302"/>
      <c r="N24" s="242">
        <f t="shared" si="4"/>
        <v>0</v>
      </c>
      <c r="O24" s="12"/>
      <c r="P24" s="12"/>
      <c r="Q24" s="12"/>
      <c r="R24" s="12"/>
      <c r="S24" s="107"/>
      <c r="T24" s="107"/>
      <c r="U24" s="107"/>
      <c r="V24" s="12"/>
      <c r="W24" s="23"/>
      <c r="X24" s="21"/>
      <c r="Y24" s="23"/>
      <c r="Z24" s="42"/>
      <c r="AB24" s="12"/>
    </row>
    <row r="25" spans="2:29" s="14" customFormat="1">
      <c r="B25" s="186" t="s">
        <v>1016</v>
      </c>
      <c r="C25" s="184" t="s">
        <v>1017</v>
      </c>
      <c r="D25" s="179" t="s">
        <v>459</v>
      </c>
      <c r="E25" s="35"/>
      <c r="F25" s="21"/>
      <c r="G25" s="21"/>
      <c r="H25" s="20"/>
      <c r="I25" s="36"/>
      <c r="J25" s="300"/>
      <c r="K25" s="302"/>
      <c r="L25" s="302"/>
      <c r="M25" s="302"/>
      <c r="N25" s="242">
        <f t="shared" si="4"/>
        <v>0</v>
      </c>
      <c r="O25" s="12"/>
      <c r="P25" s="12"/>
      <c r="Q25" s="12"/>
      <c r="R25" s="12"/>
      <c r="S25" s="107"/>
      <c r="T25" s="107"/>
      <c r="U25" s="107"/>
      <c r="V25" s="12"/>
      <c r="X25" s="21"/>
    </row>
    <row r="26" spans="2:29" s="14" customFormat="1">
      <c r="B26" s="186" t="s">
        <v>1016</v>
      </c>
      <c r="C26" s="184" t="s">
        <v>1018</v>
      </c>
      <c r="D26" s="179" t="s">
        <v>459</v>
      </c>
      <c r="E26" s="35"/>
      <c r="F26" s="21"/>
      <c r="G26" s="21"/>
      <c r="H26" s="20"/>
      <c r="I26" s="36"/>
      <c r="J26" s="300"/>
      <c r="K26" s="302"/>
      <c r="L26" s="302"/>
      <c r="M26" s="302"/>
      <c r="N26" s="242">
        <f t="shared" si="4"/>
        <v>0</v>
      </c>
      <c r="O26" s="12"/>
      <c r="P26" s="12"/>
      <c r="Q26" s="12"/>
      <c r="R26" s="12"/>
      <c r="S26" s="107"/>
      <c r="T26" s="107"/>
      <c r="U26" s="107"/>
      <c r="V26" s="12"/>
      <c r="X26" s="21"/>
    </row>
    <row r="27" spans="2:29" s="14" customFormat="1">
      <c r="B27" s="186" t="s">
        <v>1057</v>
      </c>
      <c r="C27" s="184" t="s">
        <v>1182</v>
      </c>
      <c r="D27" s="179" t="s">
        <v>459</v>
      </c>
      <c r="E27" s="35"/>
      <c r="F27" s="34"/>
      <c r="G27" s="21"/>
      <c r="H27" s="20"/>
      <c r="I27" s="36"/>
      <c r="J27" s="300"/>
      <c r="K27" s="302"/>
      <c r="L27" s="302"/>
      <c r="M27" s="302"/>
      <c r="N27" s="242">
        <f t="shared" si="4"/>
        <v>0</v>
      </c>
      <c r="O27" s="12"/>
      <c r="P27" s="12"/>
      <c r="Q27" s="12"/>
      <c r="R27" s="12"/>
      <c r="S27" s="35">
        <v>1000</v>
      </c>
      <c r="T27" s="518"/>
      <c r="U27" s="35" t="s">
        <v>1118</v>
      </c>
      <c r="V27" s="263" t="str">
        <f>IFERROR(IF(D27="tonnes/yr", $S27*$E27/($N$20*3.6), $T27*$E27*3.6/($N$20*3.6)), "Unfilled fields to left")</f>
        <v>Unfilled fields to left</v>
      </c>
      <c r="X27" s="21"/>
    </row>
    <row r="28" spans="2:29" s="14" customFormat="1">
      <c r="B28" s="186" t="s">
        <v>1113</v>
      </c>
      <c r="C28" s="184" t="s">
        <v>1073</v>
      </c>
      <c r="D28" s="179" t="s">
        <v>459</v>
      </c>
      <c r="E28" s="35"/>
      <c r="F28" s="34"/>
      <c r="G28" s="21"/>
      <c r="H28" s="20"/>
      <c r="I28" s="36"/>
      <c r="J28" s="300"/>
      <c r="K28" s="302"/>
      <c r="L28" s="302"/>
      <c r="M28" s="302"/>
      <c r="N28" s="242">
        <f t="shared" si="4"/>
        <v>0</v>
      </c>
      <c r="O28" s="12"/>
      <c r="P28" s="12"/>
      <c r="Q28" s="12"/>
      <c r="R28" s="12"/>
      <c r="S28" s="35">
        <v>28000</v>
      </c>
      <c r="T28" s="518"/>
      <c r="U28" s="35" t="s">
        <v>1059</v>
      </c>
      <c r="V28" s="263" t="str">
        <f>IFERROR(IF(D28="tonnes/yr", $S28*$E28/($N$20*3.6), $T28*$E28*3.6/($N$20*3.6)), "Unfilled fields to left")</f>
        <v>Unfilled fields to left</v>
      </c>
      <c r="X28" s="21"/>
    </row>
    <row r="29" spans="2:29" s="14" customFormat="1">
      <c r="B29" s="186" t="s">
        <v>1113</v>
      </c>
      <c r="C29" s="184" t="s">
        <v>1075</v>
      </c>
      <c r="D29" s="179" t="s">
        <v>459</v>
      </c>
      <c r="E29" s="35"/>
      <c r="F29" s="21"/>
      <c r="G29" s="21"/>
      <c r="H29" s="20"/>
      <c r="I29" s="36"/>
      <c r="J29" s="300"/>
      <c r="K29" s="302"/>
      <c r="L29" s="302"/>
      <c r="M29" s="302"/>
      <c r="N29" s="242">
        <f t="shared" si="4"/>
        <v>0</v>
      </c>
      <c r="O29" s="12"/>
      <c r="P29" s="12"/>
      <c r="Q29" s="12"/>
      <c r="R29" s="12"/>
      <c r="S29" s="35">
        <v>265000</v>
      </c>
      <c r="T29" s="518"/>
      <c r="U29" s="35" t="s">
        <v>1059</v>
      </c>
      <c r="V29" s="263" t="str">
        <f>IFERROR(IF(D29="tonnes/yr", $S29*$E29/($N$20*3.6), $T29*$E29*3.6/($N$20*3.6)), "Unfilled fields to left")</f>
        <v>Unfilled fields to left</v>
      </c>
      <c r="X29" s="21"/>
    </row>
    <row r="30" spans="2:29" s="14" customFormat="1">
      <c r="B30" s="16"/>
      <c r="C30" s="15"/>
      <c r="D30" s="179"/>
      <c r="E30" s="35"/>
      <c r="F30" s="21"/>
      <c r="G30" s="21"/>
      <c r="H30" s="20"/>
      <c r="I30" s="36"/>
      <c r="J30" s="300"/>
      <c r="K30" s="302"/>
      <c r="L30" s="302"/>
      <c r="M30" s="302"/>
      <c r="N30" s="242">
        <f t="shared" si="4"/>
        <v>0</v>
      </c>
      <c r="O30" s="12"/>
      <c r="P30" s="12"/>
      <c r="Q30" s="12"/>
      <c r="R30" s="12"/>
      <c r="S30" s="300"/>
      <c r="T30" s="477"/>
      <c r="U30" s="302"/>
      <c r="V30" s="263" t="str">
        <f>IFERROR(IF(D30="tonnes/yr", $S30*$E30/($N$20*3.6), $T30*$E30*3.6/($N$20*3.6)), "Unfilled fields to left")</f>
        <v>Unfilled fields to left</v>
      </c>
      <c r="X30" s="21"/>
    </row>
    <row r="31" spans="2:29" s="14" customFormat="1">
      <c r="B31" s="16"/>
      <c r="C31" s="15"/>
      <c r="D31" s="179"/>
      <c r="E31" s="35"/>
      <c r="F31" s="21"/>
      <c r="G31" s="21"/>
      <c r="H31" s="20"/>
      <c r="I31" s="36"/>
      <c r="J31" s="300"/>
      <c r="K31" s="302"/>
      <c r="L31" s="302"/>
      <c r="M31" s="302"/>
      <c r="N31" s="242">
        <f t="shared" si="4"/>
        <v>0</v>
      </c>
      <c r="O31" s="12"/>
      <c r="P31" s="12"/>
      <c r="Q31" s="12"/>
      <c r="R31" s="12"/>
      <c r="S31" s="300"/>
      <c r="T31" s="477"/>
      <c r="U31" s="302"/>
      <c r="V31" s="263" t="str">
        <f>IFERROR(IF(D31="tonnes/yr", $S31*$E31/($N$20*3.6), $T31*$E31*3.6/($N$20*3.6)), "Unfilled fields to left")</f>
        <v>Unfilled fields to left</v>
      </c>
      <c r="X31" s="21"/>
    </row>
    <row r="32" spans="2:29">
      <c r="C32" s="17"/>
      <c r="D32" s="17"/>
      <c r="E32" s="140"/>
      <c r="F32" s="17"/>
      <c r="H32" s="18"/>
      <c r="I32" s="18"/>
      <c r="J32" s="40"/>
      <c r="K32" s="40"/>
      <c r="L32" s="40"/>
      <c r="M32" s="40"/>
      <c r="O32" s="12"/>
      <c r="P32" s="12"/>
      <c r="Q32" s="12"/>
      <c r="S32" s="40"/>
      <c r="T32" s="40"/>
      <c r="U32" s="40"/>
      <c r="V32" s="140"/>
      <c r="Y32" s="12"/>
    </row>
    <row r="33" spans="2:25">
      <c r="D33" s="17"/>
      <c r="E33" s="140"/>
      <c r="J33" s="39"/>
      <c r="K33" s="39"/>
      <c r="L33" s="40"/>
      <c r="M33" s="40"/>
      <c r="O33" s="12"/>
      <c r="P33" s="12"/>
      <c r="Q33" s="12"/>
      <c r="S33" s="39"/>
      <c r="T33" s="39"/>
      <c r="U33" s="38" t="s">
        <v>1114</v>
      </c>
      <c r="V33" s="171">
        <f>SUM(V7:V32)</f>
        <v>0</v>
      </c>
      <c r="Y33" s="12"/>
    </row>
    <row r="34" spans="2:25">
      <c r="B34" s="145" t="s">
        <v>132</v>
      </c>
      <c r="C34" s="159"/>
      <c r="D34" s="159"/>
      <c r="E34" s="499"/>
      <c r="I34" s="12"/>
      <c r="J34" s="107"/>
      <c r="K34" s="107"/>
      <c r="L34" s="40"/>
      <c r="M34" s="40"/>
      <c r="O34" s="12"/>
      <c r="P34" s="12"/>
      <c r="Q34" s="12"/>
      <c r="S34" s="107"/>
      <c r="T34" s="107"/>
      <c r="U34" s="107"/>
      <c r="V34" s="107"/>
      <c r="Y34" s="12"/>
    </row>
    <row r="35" spans="2:25">
      <c r="B35" s="16" t="s">
        <v>1086</v>
      </c>
      <c r="C35" s="15" t="s">
        <v>1087</v>
      </c>
      <c r="D35" s="15" t="s">
        <v>1088</v>
      </c>
      <c r="E35" s="501"/>
      <c r="G35" s="19"/>
      <c r="H35" s="12"/>
      <c r="I35" s="12"/>
      <c r="J35" s="107"/>
      <c r="K35" s="107"/>
      <c r="L35" s="40"/>
      <c r="M35" s="40"/>
      <c r="O35" s="12"/>
      <c r="P35" s="12"/>
      <c r="Q35" s="12"/>
      <c r="S35" s="107"/>
      <c r="T35" s="107"/>
      <c r="U35" s="107"/>
      <c r="V35" s="12"/>
      <c r="X35" s="25"/>
      <c r="Y35" s="12"/>
    </row>
    <row r="36" spans="2:25">
      <c r="B36" s="16" t="s">
        <v>1119</v>
      </c>
      <c r="C36" s="15" t="s">
        <v>1120</v>
      </c>
      <c r="D36" s="15" t="s">
        <v>299</v>
      </c>
      <c r="E36" s="507"/>
      <c r="H36" s="12"/>
      <c r="I36" s="12"/>
      <c r="J36" s="107"/>
      <c r="K36" s="107"/>
      <c r="L36" s="39"/>
      <c r="M36" s="39"/>
      <c r="O36" s="12"/>
      <c r="P36" s="12"/>
      <c r="Q36" s="12"/>
      <c r="S36" s="107"/>
      <c r="T36" s="107"/>
      <c r="U36" s="107"/>
      <c r="V36" s="12"/>
      <c r="X36" s="25"/>
      <c r="Y36" s="12"/>
    </row>
    <row r="37" spans="2:25">
      <c r="B37" s="16"/>
      <c r="C37" s="15"/>
      <c r="D37" s="15"/>
      <c r="E37" s="507"/>
      <c r="J37" s="39"/>
      <c r="K37" s="39"/>
      <c r="L37" s="107"/>
      <c r="M37" s="107"/>
      <c r="N37" s="107"/>
      <c r="O37" s="12"/>
      <c r="P37" s="12"/>
      <c r="Q37" s="12"/>
      <c r="S37" s="39"/>
      <c r="T37" s="39"/>
      <c r="U37" s="39"/>
      <c r="V37" s="107"/>
      <c r="X37" s="25"/>
    </row>
    <row r="38" spans="2:25">
      <c r="B38" s="16"/>
      <c r="C38" s="15"/>
      <c r="D38" s="15"/>
      <c r="E38" s="507"/>
      <c r="J38" s="39"/>
      <c r="K38" s="39"/>
      <c r="L38" s="107"/>
      <c r="M38" s="107"/>
      <c r="N38" s="107"/>
      <c r="O38" s="12"/>
      <c r="P38" s="12"/>
      <c r="Q38" s="12"/>
      <c r="S38" s="39"/>
      <c r="T38" s="39"/>
      <c r="U38" s="39"/>
      <c r="V38" s="107"/>
      <c r="X38" s="25"/>
    </row>
    <row r="39" spans="2:25">
      <c r="E39" s="107"/>
      <c r="J39" s="39"/>
      <c r="K39" s="39"/>
      <c r="L39" s="107"/>
      <c r="M39" s="107"/>
      <c r="N39" s="107"/>
      <c r="O39" s="12"/>
      <c r="P39" s="12"/>
      <c r="Q39" s="12"/>
      <c r="S39" s="39"/>
      <c r="T39" s="39"/>
      <c r="U39" s="39"/>
      <c r="V39" s="107"/>
    </row>
    <row r="40" spans="2:25">
      <c r="E40" s="107"/>
      <c r="J40" s="39"/>
      <c r="K40" s="39"/>
      <c r="L40" s="39"/>
      <c r="M40" s="39"/>
      <c r="S40" s="39"/>
      <c r="T40" s="39"/>
      <c r="U40" s="39"/>
      <c r="V40" s="107"/>
    </row>
    <row r="41" spans="2:25">
      <c r="E41" s="107"/>
      <c r="J41" s="39"/>
      <c r="K41" s="39"/>
      <c r="L41" s="39"/>
      <c r="M41" s="39"/>
      <c r="S41" s="39"/>
      <c r="T41" s="39"/>
      <c r="U41" s="39"/>
      <c r="V41" s="107"/>
    </row>
    <row r="42" spans="2:25">
      <c r="E42" s="107"/>
      <c r="J42" s="39"/>
      <c r="K42" s="39"/>
      <c r="L42" s="39"/>
      <c r="M42" s="39"/>
      <c r="S42" s="39"/>
      <c r="T42" s="39"/>
      <c r="U42" s="39"/>
      <c r="V42" s="107"/>
    </row>
    <row r="43" spans="2:25">
      <c r="E43" s="107"/>
      <c r="J43" s="39"/>
      <c r="K43" s="39"/>
      <c r="L43" s="39"/>
      <c r="M43" s="39"/>
      <c r="S43" s="39"/>
      <c r="T43" s="39"/>
      <c r="U43" s="39"/>
      <c r="V43" s="107"/>
    </row>
    <row r="44" spans="2:25">
      <c r="E44" s="107"/>
      <c r="J44" s="39"/>
      <c r="K44" s="39"/>
      <c r="L44" s="39"/>
      <c r="M44" s="39"/>
      <c r="S44" s="39"/>
      <c r="T44" s="39"/>
      <c r="U44" s="39"/>
      <c r="V44" s="107"/>
    </row>
    <row r="45" spans="2:25">
      <c r="E45" s="107"/>
      <c r="J45" s="39"/>
      <c r="K45" s="39"/>
      <c r="L45" s="39"/>
      <c r="M45" s="39"/>
      <c r="S45" s="39"/>
      <c r="T45" s="39"/>
      <c r="U45" s="39"/>
      <c r="V45" s="107"/>
    </row>
    <row r="46" spans="2:25">
      <c r="E46" s="107"/>
      <c r="J46" s="39"/>
      <c r="K46" s="39"/>
      <c r="L46" s="39"/>
      <c r="M46" s="39"/>
      <c r="S46" s="39"/>
      <c r="T46" s="39"/>
      <c r="U46" s="39"/>
      <c r="V46" s="107"/>
    </row>
    <row r="47" spans="2:25">
      <c r="E47" s="107"/>
      <c r="J47" s="39"/>
      <c r="K47" s="39"/>
      <c r="L47" s="39"/>
      <c r="M47" s="39"/>
      <c r="S47" s="39"/>
      <c r="T47" s="39"/>
      <c r="U47" s="39"/>
      <c r="V47" s="107"/>
    </row>
    <row r="48" spans="2:25">
      <c r="E48" s="107"/>
      <c r="J48" s="39"/>
      <c r="K48" s="39"/>
      <c r="L48" s="39"/>
      <c r="M48" s="39"/>
      <c r="S48" s="39"/>
      <c r="T48" s="39"/>
      <c r="U48" s="39"/>
      <c r="V48" s="107"/>
    </row>
    <row r="49" spans="5:22">
      <c r="E49" s="107"/>
      <c r="J49" s="39"/>
      <c r="K49" s="39"/>
      <c r="L49" s="39"/>
      <c r="M49" s="39"/>
      <c r="S49" s="39"/>
      <c r="T49" s="39"/>
      <c r="U49" s="39"/>
      <c r="V49" s="107"/>
    </row>
    <row r="50" spans="5:22">
      <c r="E50" s="107"/>
      <c r="J50" s="39"/>
      <c r="K50" s="39"/>
      <c r="L50" s="39"/>
      <c r="M50" s="39"/>
      <c r="S50" s="39"/>
      <c r="T50" s="39"/>
      <c r="U50" s="39"/>
      <c r="V50" s="107"/>
    </row>
    <row r="51" spans="5:22">
      <c r="E51" s="107"/>
      <c r="J51" s="39"/>
      <c r="K51" s="39"/>
      <c r="L51" s="39"/>
      <c r="M51" s="39"/>
      <c r="S51" s="39"/>
      <c r="T51" s="39"/>
      <c r="U51" s="39"/>
      <c r="V51" s="107"/>
    </row>
    <row r="52" spans="5:22">
      <c r="E52" s="107"/>
      <c r="J52" s="39"/>
      <c r="K52" s="39"/>
      <c r="L52" s="39"/>
      <c r="M52" s="39"/>
      <c r="S52" s="39"/>
      <c r="T52" s="39"/>
      <c r="U52" s="39"/>
      <c r="V52" s="107"/>
    </row>
    <row r="53" spans="5:22">
      <c r="E53" s="107"/>
      <c r="J53" s="39"/>
      <c r="K53" s="39"/>
      <c r="L53" s="39"/>
      <c r="M53" s="39"/>
      <c r="S53" s="39"/>
      <c r="T53" s="39"/>
      <c r="U53" s="39"/>
      <c r="V53" s="107"/>
    </row>
    <row r="54" spans="5:22">
      <c r="E54" s="107"/>
      <c r="J54" s="39"/>
      <c r="K54" s="39"/>
      <c r="L54" s="39"/>
      <c r="M54" s="39"/>
      <c r="S54" s="39"/>
      <c r="T54" s="39"/>
      <c r="U54" s="39"/>
      <c r="V54" s="107"/>
    </row>
    <row r="55" spans="5:22">
      <c r="E55" s="107"/>
      <c r="J55" s="39"/>
      <c r="K55" s="39"/>
      <c r="L55" s="39"/>
      <c r="M55" s="39"/>
      <c r="S55" s="39"/>
      <c r="T55" s="39"/>
      <c r="U55" s="39"/>
      <c r="V55" s="107"/>
    </row>
    <row r="56" spans="5:22">
      <c r="E56" s="107"/>
      <c r="J56" s="39"/>
      <c r="K56" s="39"/>
      <c r="L56" s="39"/>
      <c r="M56" s="39"/>
      <c r="S56" s="39"/>
      <c r="T56" s="39"/>
      <c r="U56" s="39"/>
      <c r="V56" s="107"/>
    </row>
    <row r="57" spans="5:22">
      <c r="E57" s="107"/>
      <c r="J57" s="39"/>
      <c r="K57" s="39"/>
      <c r="L57" s="39"/>
      <c r="M57" s="39"/>
      <c r="S57" s="39"/>
      <c r="T57" s="39"/>
      <c r="U57" s="39"/>
      <c r="V57" s="107"/>
    </row>
    <row r="58" spans="5:22">
      <c r="E58" s="107"/>
      <c r="J58" s="39"/>
      <c r="K58" s="39"/>
      <c r="L58" s="39"/>
      <c r="M58" s="39"/>
      <c r="S58" s="39"/>
      <c r="T58" s="39"/>
      <c r="U58" s="39"/>
      <c r="V58" s="107"/>
    </row>
    <row r="59" spans="5:22">
      <c r="E59" s="107"/>
      <c r="J59" s="39"/>
      <c r="K59" s="39"/>
      <c r="L59" s="39"/>
      <c r="M59" s="39"/>
      <c r="S59" s="39"/>
      <c r="T59" s="39"/>
      <c r="U59" s="39"/>
      <c r="V59" s="107"/>
    </row>
    <row r="60" spans="5:22">
      <c r="E60" s="107"/>
      <c r="J60" s="39"/>
      <c r="K60" s="39"/>
      <c r="L60" s="39"/>
      <c r="M60" s="39"/>
      <c r="S60" s="39"/>
      <c r="T60" s="39"/>
      <c r="U60" s="39"/>
      <c r="V60" s="107"/>
    </row>
    <row r="61" spans="5:22">
      <c r="E61" s="107"/>
      <c r="J61" s="39"/>
      <c r="K61" s="39"/>
      <c r="L61" s="39"/>
      <c r="M61" s="39"/>
      <c r="S61" s="39"/>
      <c r="T61" s="39"/>
      <c r="U61" s="39"/>
      <c r="V61" s="107"/>
    </row>
    <row r="62" spans="5:22">
      <c r="E62" s="107"/>
      <c r="J62" s="39"/>
      <c r="K62" s="39"/>
      <c r="L62" s="39"/>
      <c r="M62" s="39"/>
      <c r="S62" s="39"/>
      <c r="T62" s="39"/>
      <c r="U62" s="39"/>
      <c r="V62" s="107"/>
    </row>
    <row r="63" spans="5:22">
      <c r="E63" s="107"/>
      <c r="J63" s="39"/>
      <c r="K63" s="39"/>
      <c r="L63" s="39"/>
      <c r="M63" s="39"/>
      <c r="S63" s="39"/>
      <c r="T63" s="39"/>
      <c r="U63" s="39"/>
      <c r="V63" s="107"/>
    </row>
    <row r="64" spans="5:22">
      <c r="E64" s="107"/>
      <c r="J64" s="39"/>
      <c r="K64" s="39"/>
      <c r="L64" s="39"/>
      <c r="M64" s="39"/>
      <c r="S64" s="39"/>
      <c r="T64" s="39"/>
      <c r="U64" s="39"/>
      <c r="V64" s="107"/>
    </row>
    <row r="65" spans="5:22">
      <c r="E65" s="107"/>
      <c r="J65" s="39"/>
      <c r="K65" s="39"/>
      <c r="L65" s="39"/>
      <c r="M65" s="39"/>
      <c r="S65" s="39"/>
      <c r="T65" s="39"/>
      <c r="U65" s="39"/>
      <c r="V65" s="107"/>
    </row>
    <row r="66" spans="5:22">
      <c r="E66" s="107"/>
      <c r="J66" s="39"/>
      <c r="K66" s="39"/>
      <c r="L66" s="39"/>
      <c r="M66" s="39"/>
      <c r="S66" s="39"/>
      <c r="T66" s="39"/>
      <c r="U66" s="39"/>
      <c r="V66" s="107"/>
    </row>
    <row r="67" spans="5:22">
      <c r="E67" s="107"/>
      <c r="J67" s="39"/>
      <c r="K67" s="39"/>
      <c r="L67" s="39"/>
      <c r="M67" s="39"/>
      <c r="S67" s="39"/>
      <c r="T67" s="39"/>
      <c r="U67" s="39"/>
      <c r="V67" s="107"/>
    </row>
    <row r="68" spans="5:22">
      <c r="E68" s="107"/>
      <c r="J68" s="39"/>
      <c r="K68" s="39"/>
      <c r="L68" s="39"/>
      <c r="M68" s="39"/>
      <c r="S68" s="39"/>
      <c r="T68" s="39"/>
      <c r="U68" s="39"/>
      <c r="V68" s="107"/>
    </row>
    <row r="69" spans="5:22">
      <c r="E69" s="107"/>
      <c r="J69" s="39"/>
      <c r="K69" s="39"/>
      <c r="L69" s="39"/>
      <c r="M69" s="39"/>
      <c r="S69" s="39"/>
      <c r="T69" s="39"/>
      <c r="U69" s="39"/>
      <c r="V69" s="107"/>
    </row>
    <row r="70" spans="5:22">
      <c r="E70" s="107"/>
      <c r="J70" s="39"/>
      <c r="K70" s="39"/>
      <c r="L70" s="39"/>
      <c r="M70" s="39"/>
      <c r="S70" s="39"/>
      <c r="T70" s="39"/>
      <c r="U70" s="39"/>
      <c r="V70" s="107"/>
    </row>
    <row r="71" spans="5:22">
      <c r="E71" s="107"/>
      <c r="J71" s="39"/>
      <c r="K71" s="39"/>
      <c r="L71" s="39"/>
      <c r="M71" s="39"/>
      <c r="S71" s="39"/>
      <c r="T71" s="39"/>
      <c r="U71" s="39"/>
      <c r="V71" s="107"/>
    </row>
    <row r="72" spans="5:22">
      <c r="E72" s="107"/>
      <c r="J72" s="39"/>
      <c r="K72" s="39"/>
      <c r="L72" s="39"/>
      <c r="M72" s="39"/>
      <c r="S72" s="39"/>
      <c r="T72" s="39"/>
      <c r="U72" s="39"/>
      <c r="V72" s="107"/>
    </row>
    <row r="73" spans="5:22">
      <c r="E73" s="107"/>
      <c r="J73" s="39"/>
      <c r="K73" s="39"/>
      <c r="L73" s="39"/>
      <c r="M73" s="39"/>
      <c r="S73" s="39"/>
      <c r="T73" s="39"/>
      <c r="U73" s="39"/>
      <c r="V73" s="107"/>
    </row>
    <row r="74" spans="5:22">
      <c r="E74" s="107"/>
      <c r="J74" s="39"/>
      <c r="K74" s="39"/>
      <c r="L74" s="39"/>
      <c r="M74" s="39"/>
      <c r="S74" s="39"/>
      <c r="T74" s="39"/>
      <c r="U74" s="39"/>
    </row>
    <row r="75" spans="5:22">
      <c r="E75" s="107"/>
      <c r="J75" s="39"/>
      <c r="K75" s="39"/>
      <c r="L75" s="39"/>
      <c r="M75" s="39"/>
      <c r="S75" s="39"/>
      <c r="T75" s="39"/>
      <c r="U75" s="39"/>
    </row>
    <row r="76" spans="5:22">
      <c r="E76" s="107"/>
      <c r="J76" s="39"/>
      <c r="K76" s="39"/>
      <c r="L76" s="39"/>
      <c r="M76" s="39"/>
      <c r="S76" s="39"/>
      <c r="T76" s="39"/>
      <c r="U76" s="39"/>
    </row>
    <row r="77" spans="5:22">
      <c r="E77" s="107"/>
      <c r="J77" s="39"/>
      <c r="K77" s="39"/>
      <c r="L77" s="39"/>
      <c r="M77" s="39"/>
      <c r="S77" s="39"/>
      <c r="T77" s="39"/>
      <c r="U77" s="39"/>
    </row>
    <row r="78" spans="5:22">
      <c r="E78" s="107"/>
      <c r="J78" s="39"/>
      <c r="K78" s="39"/>
      <c r="L78" s="39"/>
      <c r="M78" s="39"/>
      <c r="S78" s="39"/>
      <c r="T78" s="39"/>
      <c r="U78" s="39"/>
    </row>
    <row r="79" spans="5:22">
      <c r="E79" s="107"/>
      <c r="J79" s="39"/>
      <c r="K79" s="39"/>
      <c r="L79" s="39"/>
      <c r="M79" s="39"/>
      <c r="S79" s="39"/>
      <c r="T79" s="39"/>
      <c r="U79" s="39"/>
    </row>
    <row r="80" spans="5:22">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L122" s="39"/>
      <c r="M122" s="39"/>
      <c r="S122" s="39"/>
      <c r="T122" s="39"/>
      <c r="U122" s="39"/>
    </row>
    <row r="123" spans="5:21">
      <c r="E123" s="107"/>
      <c r="L123" s="39"/>
      <c r="M123" s="39"/>
      <c r="S123" s="39"/>
      <c r="T123" s="39"/>
      <c r="U123" s="39"/>
    </row>
    <row r="124" spans="5:21">
      <c r="E124" s="107"/>
      <c r="L124" s="39"/>
      <c r="M124" s="39"/>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I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pane xSplit="3" ySplit="5" topLeftCell="I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54A57195-904A-4091-9025-1C7782A915C7}">
      <formula1>Flow_units</formula1>
    </dataValidation>
    <dataValidation type="custom" allowBlank="1" showInputMessage="1" showErrorMessage="1" error="Please do not change this formula" prompt="Please do not change this formula" sqref="V1:V4 V6:V1048576 W4 O6:Q1048576 R6:R19 R23:R1048576 N1:N1048576 O1:R4 S5:V5" xr:uid="{453DDCCF-15EC-4F6F-BA0C-ABB01E6EB763}">
      <formula1>"Please do not change this formula"</formula1>
    </dataValidation>
    <dataValidation type="custom" allowBlank="1" showInputMessage="1" showErrorMessage="1" error="Please do not change" sqref="R20:R22" xr:uid="{401DDCA7-2A47-411C-BB25-1EB4AACBC55D}">
      <formula1>"Please do not change"</formula1>
    </dataValidation>
    <dataValidation type="custom" allowBlank="1" showInputMessage="1" showErrorMessage="1" error="Please do not change this formula" sqref="O5:R5" xr:uid="{897148EE-8C10-4E46-912C-25C2FACF41C3}">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E9558964-8EEF-4151-8B1F-CDBD1F63E4E2}">
      <formula1>0</formula1>
    </dataValidation>
  </dataValidations>
  <hyperlinks>
    <hyperlink ref="I2:J2" location="'Generic_Pre-Processing'!A1" display="Go to the next step of this pathway" xr:uid="{780D0871-0693-460F-B881-C2A766EDEB7A}"/>
  </hyperlinks>
  <pageMargins left="0" right="0" top="0" bottom="0" header="0" footer="0"/>
  <pageSetup paperSize="9" orientation="portrait" r:id="rId10"/>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2" id="{08AACADD-5E09-43A0-A796-83393CE4F7D3}">
            <xm:f>AND(Path&lt;&gt;Units!$B$139,Master_Switch="On")</xm:f>
            <x14:dxf>
              <font>
                <color theme="0"/>
              </font>
              <fill>
                <patternFill>
                  <bgColor theme="0"/>
                </patternFill>
              </fill>
              <border>
                <left/>
                <right/>
                <top/>
                <bottom/>
                <vertical/>
                <horizontal/>
              </border>
            </x14:dxf>
          </x14:cfRule>
          <xm:sqref>A2:XFD200</xm:sqref>
        </x14:conditionalFormatting>
      </x14:conditionalFormatting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388BD-F401-4E30-BC97-DFBBC1C99DEB}">
  <sheetPr codeName="Sheet38">
    <tabColor theme="0" tint="-0.34998626667073579"/>
  </sheetPr>
  <dimension ref="A1:AC191"/>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55"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18.453125" customWidth="1"/>
    <col min="16" max="16" width="9.1796875" style="12" customWidth="1"/>
    <col min="17" max="17" width="18.81640625" style="12" customWidth="1"/>
    <col min="18" max="18" width="17.54296875" style="12" customWidth="1"/>
    <col min="19" max="20" width="20.7265625" style="13" customWidth="1"/>
    <col min="21" max="21" width="22.7265625" style="13" customWidth="1"/>
    <col min="22" max="22" width="20.26953125" style="39" customWidth="1"/>
    <col min="23" max="23" width="7.1796875" style="12" customWidth="1"/>
    <col min="24" max="24" width="26" style="12" customWidth="1"/>
    <col min="26" max="16384" width="7.1796875" style="12"/>
  </cols>
  <sheetData>
    <row r="1" spans="1:29" ht="31.9" customHeight="1">
      <c r="A1" s="80" t="str">
        <f>IF(AND(Path&lt;&gt;Units!$B$139,Master_Switch="On"),"User should not fill in this sheet, but switch to other non-blank GHG worksheets","")</f>
        <v>User should not fill in this sheet, but switch to other non-blank GHG worksheets</v>
      </c>
      <c r="E1" s="256"/>
    </row>
    <row r="2" spans="1:29" ht="20.5" customHeight="1">
      <c r="E2" s="256"/>
      <c r="I2" s="729" t="s">
        <v>1093</v>
      </c>
      <c r="J2" s="731"/>
      <c r="K2" s="732"/>
    </row>
    <row r="3" spans="1:29" ht="15" customHeight="1">
      <c r="E3" s="256"/>
    </row>
    <row r="4" spans="1:29" ht="15.65" customHeight="1" thickBot="1">
      <c r="B4" s="3"/>
      <c r="C4" s="3"/>
      <c r="D4" s="3"/>
      <c r="E4" s="455"/>
      <c r="F4" s="3"/>
      <c r="G4" s="3"/>
      <c r="H4" s="1"/>
      <c r="I4" s="1"/>
      <c r="J4" s="1"/>
      <c r="K4" s="1"/>
      <c r="L4" s="1"/>
      <c r="M4" s="1"/>
      <c r="N4" s="37"/>
      <c r="O4" s="1"/>
      <c r="P4" s="3"/>
      <c r="Q4" s="3"/>
      <c r="R4" s="3"/>
      <c r="S4" s="1"/>
      <c r="T4" s="1"/>
      <c r="U4" s="1"/>
      <c r="V4" s="37"/>
      <c r="W4" s="37"/>
      <c r="X4" s="3"/>
    </row>
    <row r="5" spans="1:29"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9" ht="15" thickTop="1">
      <c r="E6" s="457"/>
      <c r="Q6"/>
      <c r="R6"/>
      <c r="S6"/>
      <c r="T6"/>
      <c r="U6"/>
      <c r="V6"/>
    </row>
    <row r="7" spans="1:29">
      <c r="B7" s="145" t="s">
        <v>1097</v>
      </c>
      <c r="C7" s="145"/>
      <c r="D7" s="145"/>
      <c r="E7" s="324"/>
      <c r="F7" s="145"/>
      <c r="G7" s="145"/>
      <c r="H7" s="145"/>
      <c r="I7" s="145"/>
      <c r="J7" s="145"/>
      <c r="K7" s="145"/>
      <c r="L7" s="145"/>
      <c r="M7" s="145"/>
      <c r="N7" s="301"/>
      <c r="Q7"/>
      <c r="R7"/>
      <c r="S7"/>
      <c r="T7"/>
      <c r="U7"/>
      <c r="V7"/>
      <c r="W7" s="19"/>
      <c r="X7" s="19"/>
      <c r="Y7" s="19"/>
      <c r="Z7" s="19"/>
      <c r="AA7" s="19"/>
      <c r="AB7" s="19"/>
      <c r="AC7" s="19"/>
    </row>
    <row r="8" spans="1:29">
      <c r="B8" s="16" t="s">
        <v>1115</v>
      </c>
      <c r="C8" s="184" t="s">
        <v>1295</v>
      </c>
      <c r="D8" s="179" t="s">
        <v>459</v>
      </c>
      <c r="E8" s="35"/>
      <c r="F8" s="21"/>
      <c r="G8" s="21"/>
      <c r="H8" s="20"/>
      <c r="I8" s="20"/>
      <c r="J8" s="300"/>
      <c r="K8" s="302"/>
      <c r="L8" s="302"/>
      <c r="M8" s="302"/>
      <c r="N8" s="242">
        <f t="shared" ref="N8:N17" si="0">IF($D8="MWh/yr (LHV)",$E8,$J8*$E8*(1-$L8)/Conversion_kWh_to_MJ)</f>
        <v>0</v>
      </c>
      <c r="O8" s="12"/>
      <c r="S8" s="107"/>
      <c r="T8" s="107"/>
      <c r="U8" s="107"/>
      <c r="V8" s="12"/>
      <c r="X8" s="24"/>
      <c r="Y8" s="12"/>
    </row>
    <row r="9" spans="1:29">
      <c r="B9" s="186" t="s">
        <v>1021</v>
      </c>
      <c r="C9" s="184" t="s">
        <v>1218</v>
      </c>
      <c r="D9" s="179" t="s">
        <v>479</v>
      </c>
      <c r="E9" s="35"/>
      <c r="F9" s="21"/>
      <c r="G9" s="21"/>
      <c r="H9" s="20"/>
      <c r="I9" s="36"/>
      <c r="J9" s="300"/>
      <c r="K9" s="302"/>
      <c r="L9" s="302"/>
      <c r="M9" s="302"/>
      <c r="N9" s="242">
        <f t="shared" si="0"/>
        <v>0</v>
      </c>
      <c r="O9" s="12"/>
      <c r="S9" s="35" t="str">
        <f t="shared" ref="S9" si="1">IF(B9="", "", IF(D9="MWh/yr (LHV)", "Use column to right", "Enter data here"))</f>
        <v>Use column to right</v>
      </c>
      <c r="T9" s="35" t="e">
        <f>INDEX(Proj_grid_intensity_kWh,MATCH(Operations_year,Proj_grid_year,0))/Conversion_kWh_to_MJ</f>
        <v>#N/A</v>
      </c>
      <c r="U9" s="35" t="s">
        <v>1064</v>
      </c>
      <c r="V9" s="263" t="str">
        <f t="shared" ref="V9:V17" si="2">IFERROR(IF(D9="tonnes/yr", $S9*$E9/($N$20*3.6), $T9*$E9*3.6/($N$20*3.6)), "Unfilled fields to left")</f>
        <v>Unfilled fields to left</v>
      </c>
      <c r="X9" s="25"/>
      <c r="Y9" s="12"/>
    </row>
    <row r="10" spans="1:29">
      <c r="B10" s="186" t="s">
        <v>1021</v>
      </c>
      <c r="C10" s="184" t="s">
        <v>1061</v>
      </c>
      <c r="D10" s="179" t="s">
        <v>479</v>
      </c>
      <c r="E10" s="35"/>
      <c r="F10" s="21"/>
      <c r="G10" s="21"/>
      <c r="H10" s="20"/>
      <c r="I10" s="36"/>
      <c r="J10" s="300"/>
      <c r="K10" s="302"/>
      <c r="L10" s="302"/>
      <c r="M10" s="302"/>
      <c r="N10" s="242">
        <f t="shared" si="0"/>
        <v>0</v>
      </c>
      <c r="O10" s="12"/>
      <c r="S10" s="35" t="str">
        <f t="shared" ref="S10" si="3">IF(B10="", "", IF(D10="MWh/yr (LHV)", "Use column to right", "Enter data here"))</f>
        <v>Use column to right</v>
      </c>
      <c r="T10" s="35" t="e">
        <f>INDEX(Proj_grid_intensity_kWh,MATCH(Operations_year,Proj_grid_year,0))/Conversion_kWh_to_MJ</f>
        <v>#N/A</v>
      </c>
      <c r="U10" s="35" t="s">
        <v>1064</v>
      </c>
      <c r="V10" s="263" t="str">
        <f t="shared" si="2"/>
        <v>Unfilled fields to left</v>
      </c>
      <c r="X10" s="25"/>
      <c r="Y10" s="12"/>
    </row>
    <row r="11" spans="1:29">
      <c r="B11" s="186" t="s">
        <v>1042</v>
      </c>
      <c r="C11" s="184" t="s">
        <v>1043</v>
      </c>
      <c r="D11" s="179" t="s">
        <v>459</v>
      </c>
      <c r="E11" s="35"/>
      <c r="F11" s="21"/>
      <c r="G11" s="21"/>
      <c r="H11" s="20"/>
      <c r="I11" s="36"/>
      <c r="J11" s="300"/>
      <c r="K11" s="302"/>
      <c r="L11" s="302"/>
      <c r="M11" s="302"/>
      <c r="N11" s="242">
        <f t="shared" si="0"/>
        <v>0</v>
      </c>
      <c r="O11" s="12"/>
      <c r="S11" s="300" t="str">
        <f t="shared" ref="S11:S17" si="4">IF(B11="", "", IF(D11="MWh/yr (LHV)", "Use column to right", "Enter data here"))</f>
        <v>Enter data here</v>
      </c>
      <c r="T11" s="300" t="str">
        <f t="shared" ref="T11:T17" si="5">IF(B11="", "", IF(D11="MWh/yr (LHV)", "Enter data here", "Use column to left"))</f>
        <v>Use column to left</v>
      </c>
      <c r="U11" s="35" t="s">
        <v>1100</v>
      </c>
      <c r="V11" s="263" t="str">
        <f t="shared" si="2"/>
        <v>Unfilled fields to left</v>
      </c>
      <c r="X11" s="25"/>
      <c r="Y11" s="12"/>
    </row>
    <row r="12" spans="1:29">
      <c r="B12" s="186" t="s">
        <v>1042</v>
      </c>
      <c r="C12" s="184" t="s">
        <v>1045</v>
      </c>
      <c r="D12" s="179" t="s">
        <v>459</v>
      </c>
      <c r="E12" s="35"/>
      <c r="F12" s="21"/>
      <c r="G12" s="21"/>
      <c r="H12" s="20"/>
      <c r="I12" s="36"/>
      <c r="J12" s="300"/>
      <c r="K12" s="302"/>
      <c r="L12" s="302"/>
      <c r="M12" s="302"/>
      <c r="N12" s="242">
        <f t="shared" si="0"/>
        <v>0</v>
      </c>
      <c r="O12" s="12"/>
      <c r="S12" s="300" t="str">
        <f t="shared" si="4"/>
        <v>Enter data here</v>
      </c>
      <c r="T12" s="300" t="str">
        <f t="shared" si="5"/>
        <v>Use column to left</v>
      </c>
      <c r="U12" s="35" t="s">
        <v>1100</v>
      </c>
      <c r="V12" s="263" t="str">
        <f t="shared" si="2"/>
        <v>Unfilled fields to left</v>
      </c>
      <c r="X12" s="25"/>
      <c r="Y12" s="12"/>
    </row>
    <row r="13" spans="1:29">
      <c r="B13" s="186" t="s">
        <v>1051</v>
      </c>
      <c r="C13" s="184" t="s">
        <v>1010</v>
      </c>
      <c r="D13" s="179" t="s">
        <v>459</v>
      </c>
      <c r="E13" s="35"/>
      <c r="F13" s="21"/>
      <c r="G13" s="21"/>
      <c r="H13" s="20"/>
      <c r="I13" s="36"/>
      <c r="J13" s="300"/>
      <c r="K13" s="302"/>
      <c r="L13" s="302"/>
      <c r="M13" s="302"/>
      <c r="N13" s="242">
        <f t="shared" si="0"/>
        <v>0</v>
      </c>
      <c r="O13" s="12"/>
      <c r="S13" s="300" t="str">
        <f t="shared" si="4"/>
        <v>Enter data here</v>
      </c>
      <c r="T13" s="300" t="str">
        <f t="shared" si="5"/>
        <v>Use column to left</v>
      </c>
      <c r="U13" s="35" t="s">
        <v>1100</v>
      </c>
      <c r="V13" s="263" t="str">
        <f t="shared" si="2"/>
        <v>Unfilled fields to left</v>
      </c>
      <c r="X13" s="25"/>
      <c r="Y13" s="12"/>
    </row>
    <row r="14" spans="1:29">
      <c r="B14" s="186" t="s">
        <v>1051</v>
      </c>
      <c r="C14" s="184" t="s">
        <v>1101</v>
      </c>
      <c r="D14" s="179" t="s">
        <v>459</v>
      </c>
      <c r="E14" s="35"/>
      <c r="F14" s="21"/>
      <c r="G14" s="21"/>
      <c r="H14" s="20"/>
      <c r="I14" s="36"/>
      <c r="J14" s="300"/>
      <c r="K14" s="302"/>
      <c r="L14" s="302"/>
      <c r="M14" s="302"/>
      <c r="N14" s="242">
        <f t="shared" si="0"/>
        <v>0</v>
      </c>
      <c r="O14" s="12"/>
      <c r="S14" s="300" t="str">
        <f t="shared" si="4"/>
        <v>Enter data here</v>
      </c>
      <c r="T14" s="300" t="str">
        <f t="shared" si="5"/>
        <v>Use column to left</v>
      </c>
      <c r="U14" s="35" t="s">
        <v>1100</v>
      </c>
      <c r="V14" s="263" t="str">
        <f t="shared" si="2"/>
        <v>Unfilled fields to left</v>
      </c>
      <c r="X14" s="25"/>
      <c r="Y14" s="12"/>
    </row>
    <row r="15" spans="1:29">
      <c r="B15" s="186" t="s">
        <v>1177</v>
      </c>
      <c r="C15" s="184" t="s">
        <v>1055</v>
      </c>
      <c r="D15" s="179" t="s">
        <v>459</v>
      </c>
      <c r="E15" s="35"/>
      <c r="F15" s="21"/>
      <c r="G15" s="21"/>
      <c r="H15" s="20"/>
      <c r="I15" s="36"/>
      <c r="J15" s="300"/>
      <c r="K15" s="302"/>
      <c r="L15" s="302"/>
      <c r="M15" s="302"/>
      <c r="N15" s="242">
        <f t="shared" si="0"/>
        <v>0</v>
      </c>
      <c r="O15" s="12"/>
      <c r="S15" s="300" t="str">
        <f t="shared" si="4"/>
        <v>Enter data here</v>
      </c>
      <c r="T15" s="300" t="str">
        <f t="shared" si="5"/>
        <v>Use column to left</v>
      </c>
      <c r="U15" s="35" t="s">
        <v>1100</v>
      </c>
      <c r="V15" s="263" t="str">
        <f t="shared" si="2"/>
        <v>Unfilled fields to left</v>
      </c>
      <c r="X15" s="25"/>
      <c r="Y15" s="12"/>
    </row>
    <row r="16" spans="1:29">
      <c r="B16" s="186" t="s">
        <v>1177</v>
      </c>
      <c r="C16" s="184" t="s">
        <v>1213</v>
      </c>
      <c r="D16" s="179" t="s">
        <v>459</v>
      </c>
      <c r="E16" s="35"/>
      <c r="F16" s="21"/>
      <c r="G16" s="21"/>
      <c r="H16" s="20"/>
      <c r="I16" s="36"/>
      <c r="J16" s="300"/>
      <c r="K16" s="302"/>
      <c r="L16" s="302"/>
      <c r="M16" s="302"/>
      <c r="N16" s="242">
        <f t="shared" si="0"/>
        <v>0</v>
      </c>
      <c r="O16" s="12"/>
      <c r="S16" s="300" t="str">
        <f t="shared" si="4"/>
        <v>Enter data here</v>
      </c>
      <c r="T16" s="300" t="str">
        <f t="shared" si="5"/>
        <v>Use column to left</v>
      </c>
      <c r="U16" s="35" t="s">
        <v>1100</v>
      </c>
      <c r="V16" s="263" t="str">
        <f t="shared" si="2"/>
        <v>Unfilled fields to left</v>
      </c>
      <c r="X16" s="25"/>
      <c r="Y16" s="12"/>
    </row>
    <row r="17" spans="2:29">
      <c r="B17" s="16"/>
      <c r="C17" s="15"/>
      <c r="D17" s="179"/>
      <c r="E17" s="35"/>
      <c r="F17" s="21"/>
      <c r="G17" s="21"/>
      <c r="H17" s="20"/>
      <c r="I17" s="36"/>
      <c r="J17" s="300"/>
      <c r="K17" s="302"/>
      <c r="L17" s="302"/>
      <c r="M17" s="302"/>
      <c r="N17" s="242">
        <f t="shared" si="0"/>
        <v>0</v>
      </c>
      <c r="O17" s="12"/>
      <c r="S17" s="302" t="str">
        <f t="shared" si="4"/>
        <v/>
      </c>
      <c r="T17" s="300" t="str">
        <f t="shared" si="5"/>
        <v/>
      </c>
      <c r="U17" s="302"/>
      <c r="V17" s="263" t="str">
        <f t="shared" si="2"/>
        <v>Unfilled fields to left</v>
      </c>
      <c r="X17" s="25"/>
      <c r="Y17" s="12"/>
    </row>
    <row r="18" spans="2:29">
      <c r="C18" s="17"/>
      <c r="D18" s="17"/>
      <c r="E18" s="506"/>
      <c r="F18" s="26"/>
      <c r="G18" s="27"/>
      <c r="H18" s="22"/>
      <c r="I18" s="22"/>
      <c r="J18" s="41"/>
      <c r="K18" s="41"/>
      <c r="L18" s="41"/>
      <c r="M18" s="41"/>
      <c r="N18" s="41"/>
      <c r="O18" s="12"/>
      <c r="S18" s="41"/>
      <c r="T18" s="41"/>
      <c r="U18" s="41"/>
      <c r="V18" s="139"/>
      <c r="X18" s="27"/>
      <c r="Y18" s="12"/>
    </row>
    <row r="19" spans="2:29">
      <c r="B19" s="145" t="s">
        <v>1103</v>
      </c>
      <c r="C19" s="145"/>
      <c r="D19" s="145"/>
      <c r="E19" s="301"/>
      <c r="F19" s="145"/>
      <c r="G19" s="145"/>
      <c r="H19" s="145"/>
      <c r="I19" s="145"/>
      <c r="J19" s="301"/>
      <c r="K19" s="301"/>
      <c r="L19" s="301"/>
      <c r="M19" s="301"/>
      <c r="N19" s="301"/>
      <c r="Q19"/>
      <c r="R19"/>
      <c r="S19" s="40"/>
      <c r="T19" s="40"/>
      <c r="U19" s="40"/>
      <c r="V19" s="140"/>
      <c r="W19" s="19"/>
      <c r="X19" s="19"/>
      <c r="Y19" s="19"/>
      <c r="Z19" s="19"/>
      <c r="AA19" s="19"/>
      <c r="AB19" s="19"/>
      <c r="AC19" s="19"/>
    </row>
    <row r="20" spans="2:29">
      <c r="B20" s="16" t="s">
        <v>1104</v>
      </c>
      <c r="C20" s="184" t="s">
        <v>1296</v>
      </c>
      <c r="D20" s="179" t="s">
        <v>459</v>
      </c>
      <c r="E20" s="35"/>
      <c r="F20" s="21"/>
      <c r="G20" s="21"/>
      <c r="H20" s="21"/>
      <c r="I20" s="21"/>
      <c r="J20" s="300"/>
      <c r="K20" s="306"/>
      <c r="L20" s="306"/>
      <c r="M20" s="306"/>
      <c r="N20" s="242">
        <f t="shared" ref="N20:N34" si="6">IF($D20="MWh/yr (LHV)",$E20,$J20*$E20*(1-$L20)/Conversion_kWh_to_MJ)</f>
        <v>0</v>
      </c>
      <c r="O20" s="246" t="str">
        <f>IFERROR(N20/N8,"")</f>
        <v/>
      </c>
      <c r="Q20" s="515">
        <f>IF($D20="MWh/yr (LHV)",$E20,$E20*MAX(0, $J20*(1-$L20)-2.441*$L20)/Conversion_kWh_to_MJ)</f>
        <v>0</v>
      </c>
      <c r="R20" s="245" t="str">
        <f>IFERROR(Q20/(SUM($Q$20:$Q$22)),"")</f>
        <v/>
      </c>
      <c r="S20" s="42"/>
      <c r="T20" s="42"/>
      <c r="U20" s="42"/>
      <c r="V20" s="141"/>
      <c r="X20" s="21"/>
      <c r="Y20" s="12"/>
    </row>
    <row r="21" spans="2:29" s="14" customFormat="1">
      <c r="B21" s="186" t="s">
        <v>1008</v>
      </c>
      <c r="C21" s="184" t="s">
        <v>1106</v>
      </c>
      <c r="D21" s="179" t="s">
        <v>459</v>
      </c>
      <c r="E21" s="35"/>
      <c r="F21" s="21"/>
      <c r="G21" s="21"/>
      <c r="H21" s="20"/>
      <c r="I21" s="33"/>
      <c r="J21" s="300"/>
      <c r="K21" s="302"/>
      <c r="L21" s="302"/>
      <c r="M21" s="302"/>
      <c r="N21" s="242">
        <f t="shared" si="6"/>
        <v>0</v>
      </c>
      <c r="O21" s="12"/>
      <c r="P21" s="12"/>
      <c r="Q21" s="515">
        <f>IF($D21="MWh/yr (LHV)",$E21,$E21*MAX(0, $J21*(1-$L21)-2.441*$L21)/Conversion_kWh_to_MJ)</f>
        <v>0</v>
      </c>
      <c r="R21" s="245" t="str">
        <f t="shared" ref="R21:R22" si="7">IFERROR(Q21/(SUM($Q$20:$Q$22)),"")</f>
        <v/>
      </c>
      <c r="S21" s="42"/>
      <c r="T21" s="42"/>
      <c r="U21" s="107"/>
      <c r="V21" s="12"/>
      <c r="W21" s="23"/>
      <c r="X21" s="21"/>
      <c r="Y21" s="23"/>
      <c r="Z21" s="42"/>
      <c r="AB21" s="12"/>
    </row>
    <row r="22" spans="2:29" s="14" customFormat="1">
      <c r="B22" s="186" t="s">
        <v>1008</v>
      </c>
      <c r="C22" s="184" t="s">
        <v>1107</v>
      </c>
      <c r="D22" s="179" t="s">
        <v>459</v>
      </c>
      <c r="E22" s="35"/>
      <c r="F22" s="21"/>
      <c r="G22" s="21"/>
      <c r="H22" s="20"/>
      <c r="I22" s="20"/>
      <c r="J22" s="302"/>
      <c r="K22" s="302"/>
      <c r="L22" s="302"/>
      <c r="M22" s="302"/>
      <c r="N22" s="242">
        <f t="shared" si="6"/>
        <v>0</v>
      </c>
      <c r="O22" s="12"/>
      <c r="P22" s="12"/>
      <c r="Q22" s="515">
        <f>IF($D22="MWh/yr (LHV)",$E22,$E22*MAX(0, $J22*(1-$L22)-2.441*$L22)/Conversion_kWh_to_MJ)</f>
        <v>0</v>
      </c>
      <c r="R22" s="245" t="str">
        <f t="shared" si="7"/>
        <v/>
      </c>
      <c r="S22" s="42"/>
      <c r="T22" s="42"/>
      <c r="U22" s="107"/>
      <c r="V22" s="12"/>
      <c r="W22" s="23"/>
      <c r="X22" s="21"/>
      <c r="Y22" s="23"/>
      <c r="Z22" s="42"/>
      <c r="AB22" s="12"/>
    </row>
    <row r="23" spans="2:29" s="14" customFormat="1">
      <c r="B23" s="186" t="s">
        <v>1013</v>
      </c>
      <c r="C23" s="184" t="s">
        <v>1108</v>
      </c>
      <c r="D23" s="179" t="s">
        <v>459</v>
      </c>
      <c r="E23" s="35"/>
      <c r="F23" s="21"/>
      <c r="G23" s="21"/>
      <c r="H23" s="20"/>
      <c r="I23" s="20"/>
      <c r="J23" s="302"/>
      <c r="K23" s="302"/>
      <c r="L23" s="302"/>
      <c r="M23" s="302"/>
      <c r="N23" s="242">
        <f t="shared" si="6"/>
        <v>0</v>
      </c>
      <c r="O23" s="12"/>
      <c r="P23" s="12"/>
      <c r="Q23" s="12"/>
      <c r="R23" s="12"/>
      <c r="S23" s="107"/>
      <c r="T23" s="107"/>
      <c r="U23" s="107"/>
      <c r="V23" s="12"/>
      <c r="W23" s="23"/>
      <c r="X23" s="21"/>
      <c r="Y23" s="23"/>
      <c r="Z23" s="42"/>
      <c r="AB23" s="12"/>
    </row>
    <row r="24" spans="2:29" s="14" customFormat="1">
      <c r="B24" s="186" t="s">
        <v>1013</v>
      </c>
      <c r="C24" s="184" t="s">
        <v>1015</v>
      </c>
      <c r="D24" s="179" t="s">
        <v>459</v>
      </c>
      <c r="E24" s="35"/>
      <c r="F24" s="21"/>
      <c r="G24" s="21"/>
      <c r="H24" s="20"/>
      <c r="I24" s="20"/>
      <c r="J24" s="302"/>
      <c r="K24" s="302"/>
      <c r="L24" s="302"/>
      <c r="M24" s="302"/>
      <c r="N24" s="242">
        <f t="shared" si="6"/>
        <v>0</v>
      </c>
      <c r="O24" s="12"/>
      <c r="P24" s="12"/>
      <c r="Q24" s="12"/>
      <c r="R24" s="12"/>
      <c r="S24" s="107"/>
      <c r="T24" s="107"/>
      <c r="U24" s="107"/>
      <c r="V24" s="12"/>
      <c r="W24" s="23"/>
      <c r="X24" s="21"/>
      <c r="Y24" s="23"/>
      <c r="Z24" s="42"/>
      <c r="AB24" s="12"/>
    </row>
    <row r="25" spans="2:29" s="14" customFormat="1">
      <c r="B25" s="186" t="s">
        <v>1016</v>
      </c>
      <c r="C25" s="184" t="s">
        <v>1017</v>
      </c>
      <c r="D25" s="179" t="s">
        <v>459</v>
      </c>
      <c r="E25" s="35"/>
      <c r="F25" s="21"/>
      <c r="G25" s="21"/>
      <c r="H25" s="20"/>
      <c r="I25" s="36"/>
      <c r="J25" s="300"/>
      <c r="K25" s="302"/>
      <c r="L25" s="302"/>
      <c r="M25" s="302"/>
      <c r="N25" s="242">
        <f t="shared" si="6"/>
        <v>0</v>
      </c>
      <c r="O25" s="12"/>
      <c r="P25" s="12"/>
      <c r="Q25" s="12"/>
      <c r="R25" s="12"/>
      <c r="S25" s="107"/>
      <c r="T25" s="107"/>
      <c r="U25" s="107"/>
      <c r="V25" s="12"/>
      <c r="X25" s="21"/>
    </row>
    <row r="26" spans="2:29" s="14" customFormat="1">
      <c r="B26" s="186" t="s">
        <v>1016</v>
      </c>
      <c r="C26" s="184" t="s">
        <v>1018</v>
      </c>
      <c r="D26" s="179" t="s">
        <v>459</v>
      </c>
      <c r="E26" s="35"/>
      <c r="F26" s="21"/>
      <c r="G26" s="21"/>
      <c r="H26" s="20"/>
      <c r="I26" s="36"/>
      <c r="J26" s="300"/>
      <c r="K26" s="302"/>
      <c r="L26" s="302"/>
      <c r="M26" s="302"/>
      <c r="N26" s="242">
        <f t="shared" si="6"/>
        <v>0</v>
      </c>
      <c r="O26" s="12"/>
      <c r="P26" s="12"/>
      <c r="Q26" s="12"/>
      <c r="R26" s="12"/>
      <c r="S26" s="107"/>
      <c r="T26" s="107"/>
      <c r="U26" s="107"/>
      <c r="V26" s="12"/>
      <c r="X26" s="21"/>
    </row>
    <row r="27" spans="2:29" s="14" customFormat="1">
      <c r="B27" s="186" t="s">
        <v>1057</v>
      </c>
      <c r="C27" s="184" t="s">
        <v>1297</v>
      </c>
      <c r="D27" s="179" t="s">
        <v>459</v>
      </c>
      <c r="E27" s="35"/>
      <c r="F27" s="34"/>
      <c r="G27" s="21"/>
      <c r="H27" s="20"/>
      <c r="I27" s="36"/>
      <c r="J27" s="300"/>
      <c r="K27" s="302"/>
      <c r="L27" s="302"/>
      <c r="M27" s="302"/>
      <c r="N27" s="242">
        <f t="shared" si="6"/>
        <v>0</v>
      </c>
      <c r="O27" s="12"/>
      <c r="P27" s="12"/>
      <c r="Q27" s="12"/>
      <c r="R27" s="12"/>
      <c r="S27" s="35">
        <v>0</v>
      </c>
      <c r="T27" s="518"/>
      <c r="U27" s="35" t="s">
        <v>1200</v>
      </c>
      <c r="V27" s="263" t="str">
        <f t="shared" ref="V27:V34" si="8">IFERROR(IF(D27="tonnes/yr", $S27*$E27/($N$20*3.6), $T27*$E27*3.6/($N$20*3.6)), "Unfilled fields to left")</f>
        <v>Unfilled fields to left</v>
      </c>
      <c r="X27" s="21"/>
    </row>
    <row r="28" spans="2:29" s="14" customFormat="1">
      <c r="B28" s="186" t="s">
        <v>1057</v>
      </c>
      <c r="C28" s="184" t="s">
        <v>1298</v>
      </c>
      <c r="D28" s="179" t="s">
        <v>459</v>
      </c>
      <c r="E28" s="35"/>
      <c r="F28" s="34"/>
      <c r="G28" s="21"/>
      <c r="H28" s="20"/>
      <c r="I28" s="36"/>
      <c r="J28" s="300"/>
      <c r="K28" s="302"/>
      <c r="L28" s="302"/>
      <c r="M28" s="302"/>
      <c r="N28" s="242">
        <f t="shared" si="6"/>
        <v>0</v>
      </c>
      <c r="O28" s="12"/>
      <c r="P28" s="12"/>
      <c r="Q28" s="12"/>
      <c r="R28" s="12"/>
      <c r="S28" s="35">
        <v>1000</v>
      </c>
      <c r="T28" s="518"/>
      <c r="U28" s="35" t="s">
        <v>1118</v>
      </c>
      <c r="V28" s="263" t="str">
        <f t="shared" si="8"/>
        <v>Unfilled fields to left</v>
      </c>
      <c r="X28" s="21"/>
    </row>
    <row r="29" spans="2:29" s="14" customFormat="1">
      <c r="B29" s="186" t="s">
        <v>1070</v>
      </c>
      <c r="C29" s="184" t="s">
        <v>1202</v>
      </c>
      <c r="D29" s="179" t="s">
        <v>459</v>
      </c>
      <c r="E29" s="35">
        <f>E27*$E$39</f>
        <v>0</v>
      </c>
      <c r="F29" s="34"/>
      <c r="G29" s="21"/>
      <c r="H29" s="20"/>
      <c r="I29" s="36"/>
      <c r="J29" s="300"/>
      <c r="K29" s="302"/>
      <c r="L29" s="302"/>
      <c r="M29" s="302"/>
      <c r="N29" s="242">
        <f t="shared" si="6"/>
        <v>0</v>
      </c>
      <c r="O29" s="12"/>
      <c r="P29" s="12"/>
      <c r="Q29" s="12"/>
      <c r="R29" s="12"/>
      <c r="S29" s="35">
        <v>-1000</v>
      </c>
      <c r="T29" s="518"/>
      <c r="U29" s="35" t="s">
        <v>1203</v>
      </c>
      <c r="V29" s="263" t="str">
        <f t="shared" si="8"/>
        <v>Unfilled fields to left</v>
      </c>
      <c r="X29" s="21"/>
    </row>
    <row r="30" spans="2:29" s="14" customFormat="1">
      <c r="B30" s="186" t="s">
        <v>1070</v>
      </c>
      <c r="C30" s="184" t="s">
        <v>1111</v>
      </c>
      <c r="D30" s="179" t="s">
        <v>459</v>
      </c>
      <c r="E30" s="35">
        <f>E28*$E$39</f>
        <v>0</v>
      </c>
      <c r="F30" s="34"/>
      <c r="G30" s="21"/>
      <c r="H30" s="20"/>
      <c r="I30" s="36"/>
      <c r="J30" s="300"/>
      <c r="K30" s="302"/>
      <c r="L30" s="302"/>
      <c r="M30" s="302"/>
      <c r="N30" s="242">
        <f t="shared" si="6"/>
        <v>0</v>
      </c>
      <c r="O30" s="12"/>
      <c r="P30" s="12"/>
      <c r="Q30" s="12"/>
      <c r="R30" s="12"/>
      <c r="S30" s="35">
        <v>-1000</v>
      </c>
      <c r="T30" s="518"/>
      <c r="U30" s="35" t="s">
        <v>1204</v>
      </c>
      <c r="V30" s="263" t="str">
        <f t="shared" si="8"/>
        <v>Unfilled fields to left</v>
      </c>
      <c r="X30" s="21"/>
    </row>
    <row r="31" spans="2:29" s="14" customFormat="1">
      <c r="B31" s="186" t="s">
        <v>1113</v>
      </c>
      <c r="C31" s="184" t="s">
        <v>1073</v>
      </c>
      <c r="D31" s="179" t="s">
        <v>459</v>
      </c>
      <c r="E31" s="35"/>
      <c r="F31" s="34"/>
      <c r="G31" s="21"/>
      <c r="H31" s="20"/>
      <c r="I31" s="36"/>
      <c r="J31" s="300"/>
      <c r="K31" s="302"/>
      <c r="L31" s="302"/>
      <c r="M31" s="302"/>
      <c r="N31" s="242">
        <f t="shared" si="6"/>
        <v>0</v>
      </c>
      <c r="O31" s="12"/>
      <c r="P31" s="12"/>
      <c r="Q31" s="12"/>
      <c r="R31" s="12"/>
      <c r="S31" s="35">
        <v>28000</v>
      </c>
      <c r="T31" s="518"/>
      <c r="U31" s="35" t="s">
        <v>1059</v>
      </c>
      <c r="V31" s="263" t="str">
        <f t="shared" si="8"/>
        <v>Unfilled fields to left</v>
      </c>
      <c r="X31" s="21"/>
    </row>
    <row r="32" spans="2:29" s="14" customFormat="1">
      <c r="B32" s="186" t="s">
        <v>1113</v>
      </c>
      <c r="C32" s="184" t="s">
        <v>1075</v>
      </c>
      <c r="D32" s="179" t="s">
        <v>459</v>
      </c>
      <c r="E32" s="35"/>
      <c r="F32" s="21"/>
      <c r="G32" s="21"/>
      <c r="H32" s="20"/>
      <c r="I32" s="36"/>
      <c r="J32" s="300"/>
      <c r="K32" s="302"/>
      <c r="L32" s="302"/>
      <c r="M32" s="302"/>
      <c r="N32" s="242">
        <f t="shared" si="6"/>
        <v>0</v>
      </c>
      <c r="O32" s="12"/>
      <c r="P32" s="12"/>
      <c r="Q32" s="12"/>
      <c r="R32" s="12"/>
      <c r="S32" s="35">
        <v>265000</v>
      </c>
      <c r="T32" s="518"/>
      <c r="U32" s="35" t="s">
        <v>1059</v>
      </c>
      <c r="V32" s="263" t="str">
        <f t="shared" si="8"/>
        <v>Unfilled fields to left</v>
      </c>
      <c r="X32" s="21"/>
    </row>
    <row r="33" spans="2:25" s="14" customFormat="1">
      <c r="B33" s="16"/>
      <c r="C33" s="15"/>
      <c r="D33" s="179"/>
      <c r="E33" s="35"/>
      <c r="F33" s="21"/>
      <c r="G33" s="21"/>
      <c r="H33" s="20"/>
      <c r="I33" s="36"/>
      <c r="J33" s="300"/>
      <c r="K33" s="302"/>
      <c r="L33" s="302"/>
      <c r="M33" s="302"/>
      <c r="N33" s="242">
        <f t="shared" si="6"/>
        <v>0</v>
      </c>
      <c r="O33" s="12"/>
      <c r="P33" s="12"/>
      <c r="Q33" s="12"/>
      <c r="R33" s="12"/>
      <c r="S33" s="300"/>
      <c r="T33" s="477"/>
      <c r="U33" s="302"/>
      <c r="V33" s="263" t="str">
        <f t="shared" si="8"/>
        <v>Unfilled fields to left</v>
      </c>
      <c r="X33" s="21"/>
    </row>
    <row r="34" spans="2:25" s="14" customFormat="1">
      <c r="B34" s="16"/>
      <c r="C34" s="15"/>
      <c r="D34" s="179"/>
      <c r="E34" s="35"/>
      <c r="F34" s="21"/>
      <c r="G34" s="21"/>
      <c r="H34" s="20"/>
      <c r="I34" s="36"/>
      <c r="J34" s="300"/>
      <c r="K34" s="302"/>
      <c r="L34" s="302"/>
      <c r="M34" s="302"/>
      <c r="N34" s="242">
        <f t="shared" si="6"/>
        <v>0</v>
      </c>
      <c r="O34" s="12"/>
      <c r="P34" s="12"/>
      <c r="Q34" s="12"/>
      <c r="R34" s="12"/>
      <c r="S34" s="300"/>
      <c r="T34" s="477"/>
      <c r="U34" s="302"/>
      <c r="V34" s="263" t="str">
        <f t="shared" si="8"/>
        <v>Unfilled fields to left</v>
      </c>
      <c r="X34" s="21"/>
    </row>
    <row r="35" spans="2:25">
      <c r="C35" s="17"/>
      <c r="D35" s="17"/>
      <c r="E35" s="140"/>
      <c r="F35" s="17"/>
      <c r="H35" s="18"/>
      <c r="I35" s="18"/>
      <c r="J35" s="40"/>
      <c r="K35" s="40"/>
      <c r="L35" s="40"/>
      <c r="M35" s="40"/>
      <c r="N35" s="40"/>
      <c r="O35" s="12"/>
      <c r="S35" s="40"/>
      <c r="T35" s="40"/>
      <c r="U35" s="40"/>
      <c r="V35" s="140"/>
      <c r="Y35" s="12"/>
    </row>
    <row r="36" spans="2:25">
      <c r="D36" s="17"/>
      <c r="E36" s="140"/>
      <c r="J36" s="39"/>
      <c r="K36" s="39"/>
      <c r="L36" s="39"/>
      <c r="M36" s="39"/>
      <c r="O36" s="12"/>
      <c r="S36" s="39"/>
      <c r="T36" s="39"/>
      <c r="U36" s="38" t="s">
        <v>1114</v>
      </c>
      <c r="V36" s="171">
        <f>SUM(V7:V35)</f>
        <v>0</v>
      </c>
      <c r="Y36" s="12"/>
    </row>
    <row r="37" spans="2:25">
      <c r="B37" s="145" t="s">
        <v>132</v>
      </c>
      <c r="C37" s="159"/>
      <c r="D37" s="159"/>
      <c r="E37" s="499"/>
      <c r="I37" s="12"/>
      <c r="J37" s="107"/>
      <c r="K37" s="107"/>
      <c r="L37" s="107"/>
      <c r="M37" s="107"/>
      <c r="N37" s="107"/>
      <c r="O37" s="12"/>
      <c r="S37" s="107"/>
      <c r="T37" s="107"/>
      <c r="U37" s="107"/>
      <c r="V37" s="107"/>
      <c r="Y37" s="12"/>
    </row>
    <row r="38" spans="2:25">
      <c r="B38" s="16" t="s">
        <v>1086</v>
      </c>
      <c r="C38" s="15" t="s">
        <v>1087</v>
      </c>
      <c r="D38" s="15" t="s">
        <v>1088</v>
      </c>
      <c r="E38" s="501"/>
      <c r="G38" s="19"/>
      <c r="H38" s="12"/>
      <c r="I38" s="12"/>
      <c r="J38" s="107"/>
      <c r="K38" s="107"/>
      <c r="L38" s="107"/>
      <c r="M38" s="107"/>
      <c r="N38" s="107"/>
      <c r="O38" s="12"/>
      <c r="S38" s="107"/>
      <c r="T38" s="107"/>
      <c r="U38" s="107"/>
      <c r="V38" s="12"/>
      <c r="X38" s="25"/>
      <c r="Y38" s="12"/>
    </row>
    <row r="39" spans="2:25">
      <c r="B39" s="16" t="s">
        <v>1091</v>
      </c>
      <c r="C39" s="15" t="s">
        <v>1136</v>
      </c>
      <c r="D39" s="15" t="s">
        <v>785</v>
      </c>
      <c r="E39" s="511"/>
      <c r="H39" s="12"/>
      <c r="I39" s="12"/>
      <c r="J39" s="107"/>
      <c r="K39" s="107"/>
      <c r="L39" s="107"/>
      <c r="M39" s="107"/>
      <c r="N39" s="107"/>
      <c r="O39" s="12"/>
      <c r="S39" s="107"/>
      <c r="T39" s="107"/>
      <c r="U39" s="107"/>
      <c r="V39" s="12"/>
      <c r="X39" s="25"/>
      <c r="Y39" s="12"/>
    </row>
    <row r="40" spans="2:25">
      <c r="B40" s="16"/>
      <c r="C40" s="15"/>
      <c r="D40" s="15"/>
      <c r="E40" s="511"/>
      <c r="J40" s="39"/>
      <c r="K40" s="39"/>
      <c r="L40" s="39"/>
      <c r="M40" s="39"/>
      <c r="S40" s="39"/>
      <c r="T40" s="39"/>
      <c r="U40" s="39"/>
      <c r="V40" s="107"/>
      <c r="X40" s="25"/>
    </row>
    <row r="41" spans="2:25">
      <c r="B41" s="16"/>
      <c r="C41" s="15"/>
      <c r="D41" s="15"/>
      <c r="E41" s="507"/>
      <c r="J41" s="39"/>
      <c r="K41" s="39"/>
      <c r="L41" s="39"/>
      <c r="M41" s="39"/>
      <c r="S41" s="39"/>
      <c r="T41" s="39"/>
      <c r="U41" s="39"/>
      <c r="V41" s="107"/>
      <c r="X41" s="25"/>
    </row>
    <row r="42" spans="2:25">
      <c r="E42" s="107"/>
      <c r="J42" s="39"/>
      <c r="K42" s="39"/>
      <c r="L42" s="39"/>
      <c r="M42" s="39"/>
      <c r="S42" s="39"/>
      <c r="T42" s="39"/>
      <c r="U42" s="39"/>
      <c r="V42" s="107"/>
    </row>
    <row r="43" spans="2:25">
      <c r="E43" s="107"/>
      <c r="J43" s="39"/>
      <c r="K43" s="39"/>
      <c r="L43" s="39"/>
      <c r="M43" s="39"/>
      <c r="S43" s="39"/>
      <c r="T43" s="39"/>
      <c r="U43" s="39"/>
      <c r="V43" s="107"/>
    </row>
    <row r="44" spans="2:25">
      <c r="E44" s="107"/>
      <c r="J44" s="39"/>
      <c r="K44" s="39"/>
      <c r="L44" s="39"/>
      <c r="M44" s="39"/>
      <c r="S44" s="39"/>
      <c r="T44" s="39"/>
      <c r="U44" s="39"/>
      <c r="V44" s="107"/>
    </row>
    <row r="45" spans="2:25">
      <c r="E45" s="107"/>
      <c r="J45" s="39"/>
      <c r="K45" s="39"/>
      <c r="L45" s="39"/>
      <c r="M45" s="39"/>
      <c r="S45" s="39"/>
      <c r="T45" s="39"/>
      <c r="U45" s="39"/>
      <c r="V45" s="107"/>
    </row>
    <row r="46" spans="2:25">
      <c r="E46" s="107"/>
      <c r="J46" s="39"/>
      <c r="K46" s="39"/>
      <c r="L46" s="39"/>
      <c r="M46" s="39"/>
      <c r="S46" s="39"/>
      <c r="T46" s="39"/>
      <c r="U46" s="39"/>
      <c r="V46" s="107"/>
    </row>
    <row r="47" spans="2:25">
      <c r="E47" s="107"/>
      <c r="J47" s="39"/>
      <c r="K47" s="39"/>
      <c r="L47" s="39"/>
      <c r="M47" s="39"/>
      <c r="S47" s="39"/>
      <c r="T47" s="39"/>
      <c r="U47" s="39"/>
      <c r="V47" s="107"/>
    </row>
    <row r="48" spans="2:25">
      <c r="E48" s="107"/>
      <c r="J48" s="39"/>
      <c r="K48" s="39"/>
      <c r="L48" s="39"/>
      <c r="M48" s="39"/>
      <c r="S48" s="39"/>
      <c r="T48" s="39"/>
      <c r="U48" s="39"/>
      <c r="V48" s="107"/>
    </row>
    <row r="49" spans="5:22">
      <c r="E49" s="107"/>
      <c r="J49" s="39"/>
      <c r="K49" s="39"/>
      <c r="L49" s="39"/>
      <c r="M49" s="39"/>
      <c r="S49" s="39"/>
      <c r="T49" s="39"/>
      <c r="U49" s="39"/>
      <c r="V49" s="107"/>
    </row>
    <row r="50" spans="5:22">
      <c r="E50" s="107"/>
      <c r="J50" s="39"/>
      <c r="K50" s="39"/>
      <c r="L50" s="39"/>
      <c r="M50" s="39"/>
      <c r="S50" s="39"/>
      <c r="T50" s="39"/>
      <c r="U50" s="39"/>
      <c r="V50" s="107"/>
    </row>
    <row r="51" spans="5:22">
      <c r="E51" s="107"/>
      <c r="J51" s="39"/>
      <c r="K51" s="39"/>
      <c r="L51" s="39"/>
      <c r="M51" s="39"/>
      <c r="S51" s="39"/>
      <c r="T51" s="39"/>
      <c r="U51" s="39"/>
      <c r="V51" s="107"/>
    </row>
    <row r="52" spans="5:22">
      <c r="E52" s="107"/>
      <c r="J52" s="39"/>
      <c r="K52" s="39"/>
      <c r="L52" s="39"/>
      <c r="M52" s="39"/>
      <c r="S52" s="39"/>
      <c r="T52" s="39"/>
      <c r="U52" s="39"/>
      <c r="V52" s="107"/>
    </row>
    <row r="53" spans="5:22">
      <c r="E53" s="107"/>
      <c r="J53" s="39"/>
      <c r="K53" s="39"/>
      <c r="L53" s="39"/>
      <c r="M53" s="39"/>
      <c r="S53" s="39"/>
      <c r="T53" s="39"/>
      <c r="U53" s="39"/>
      <c r="V53" s="107"/>
    </row>
    <row r="54" spans="5:22">
      <c r="E54" s="107"/>
      <c r="J54" s="39"/>
      <c r="K54" s="39"/>
      <c r="L54" s="39"/>
      <c r="M54" s="39"/>
      <c r="S54" s="39"/>
      <c r="T54" s="39"/>
      <c r="U54" s="39"/>
      <c r="V54" s="107"/>
    </row>
    <row r="55" spans="5:22">
      <c r="E55" s="107"/>
      <c r="J55" s="39"/>
      <c r="K55" s="39"/>
      <c r="L55" s="39"/>
      <c r="M55" s="39"/>
      <c r="S55" s="39"/>
      <c r="T55" s="39"/>
      <c r="U55" s="39"/>
      <c r="V55" s="107"/>
    </row>
    <row r="56" spans="5:22">
      <c r="E56" s="107"/>
      <c r="J56" s="39"/>
      <c r="K56" s="39"/>
      <c r="L56" s="39"/>
      <c r="M56" s="39"/>
      <c r="S56" s="39"/>
      <c r="T56" s="39"/>
      <c r="U56" s="39"/>
      <c r="V56" s="107"/>
    </row>
    <row r="57" spans="5:22">
      <c r="E57" s="107"/>
      <c r="J57" s="39"/>
      <c r="K57" s="39"/>
      <c r="L57" s="39"/>
      <c r="M57" s="39"/>
      <c r="S57" s="39"/>
      <c r="T57" s="39"/>
      <c r="U57" s="39"/>
      <c r="V57" s="107"/>
    </row>
    <row r="58" spans="5:22">
      <c r="E58" s="107"/>
      <c r="J58" s="39"/>
      <c r="K58" s="39"/>
      <c r="L58" s="39"/>
      <c r="M58" s="39"/>
      <c r="S58" s="39"/>
      <c r="T58" s="39"/>
      <c r="U58" s="39"/>
      <c r="V58" s="107"/>
    </row>
    <row r="59" spans="5:22">
      <c r="E59" s="107"/>
      <c r="J59" s="39"/>
      <c r="K59" s="39"/>
      <c r="L59" s="39"/>
      <c r="M59" s="39"/>
      <c r="S59" s="39"/>
      <c r="T59" s="39"/>
      <c r="U59" s="39"/>
      <c r="V59" s="107"/>
    </row>
    <row r="60" spans="5:22">
      <c r="E60" s="107"/>
      <c r="J60" s="39"/>
      <c r="K60" s="39"/>
      <c r="L60" s="39"/>
      <c r="M60" s="39"/>
      <c r="S60" s="39"/>
      <c r="T60" s="39"/>
      <c r="U60" s="39"/>
      <c r="V60" s="107"/>
    </row>
    <row r="61" spans="5:22">
      <c r="E61" s="107"/>
      <c r="J61" s="39"/>
      <c r="K61" s="39"/>
      <c r="L61" s="39"/>
      <c r="M61" s="39"/>
      <c r="S61" s="39"/>
      <c r="T61" s="39"/>
      <c r="U61" s="39"/>
      <c r="V61" s="107"/>
    </row>
    <row r="62" spans="5:22">
      <c r="E62" s="107"/>
      <c r="J62" s="39"/>
      <c r="K62" s="39"/>
      <c r="L62" s="39"/>
      <c r="M62" s="39"/>
      <c r="S62" s="39"/>
      <c r="T62" s="39"/>
      <c r="U62" s="39"/>
      <c r="V62" s="107"/>
    </row>
    <row r="63" spans="5:22">
      <c r="E63" s="107"/>
      <c r="J63" s="39"/>
      <c r="K63" s="39"/>
      <c r="L63" s="39"/>
      <c r="M63" s="39"/>
      <c r="S63" s="39"/>
      <c r="T63" s="39"/>
      <c r="U63" s="39"/>
      <c r="V63" s="107"/>
    </row>
    <row r="64" spans="5:22">
      <c r="E64" s="107"/>
      <c r="J64" s="39"/>
      <c r="K64" s="39"/>
      <c r="L64" s="39"/>
      <c r="M64" s="39"/>
      <c r="S64" s="39"/>
      <c r="T64" s="39"/>
      <c r="U64" s="39"/>
      <c r="V64" s="107"/>
    </row>
    <row r="65" spans="5:22">
      <c r="E65" s="107"/>
      <c r="J65" s="39"/>
      <c r="K65" s="39"/>
      <c r="L65" s="39"/>
      <c r="M65" s="39"/>
      <c r="S65" s="39"/>
      <c r="T65" s="39"/>
      <c r="U65" s="39"/>
      <c r="V65" s="107"/>
    </row>
    <row r="66" spans="5:22">
      <c r="E66" s="107"/>
      <c r="J66" s="39"/>
      <c r="K66" s="39"/>
      <c r="L66" s="39"/>
      <c r="M66" s="39"/>
      <c r="S66" s="39"/>
      <c r="T66" s="39"/>
      <c r="U66" s="39"/>
      <c r="V66" s="107"/>
    </row>
    <row r="67" spans="5:22">
      <c r="E67" s="107"/>
      <c r="J67" s="39"/>
      <c r="K67" s="39"/>
      <c r="L67" s="39"/>
      <c r="M67" s="39"/>
      <c r="S67" s="39"/>
      <c r="T67" s="39"/>
      <c r="U67" s="39"/>
      <c r="V67" s="107"/>
    </row>
    <row r="68" spans="5:22">
      <c r="E68" s="107"/>
      <c r="J68" s="39"/>
      <c r="K68" s="39"/>
      <c r="L68" s="39"/>
      <c r="M68" s="39"/>
      <c r="S68" s="39"/>
      <c r="T68" s="39"/>
      <c r="U68" s="39"/>
      <c r="V68" s="107"/>
    </row>
    <row r="69" spans="5:22">
      <c r="E69" s="107"/>
      <c r="J69" s="39"/>
      <c r="K69" s="39"/>
      <c r="L69" s="39"/>
      <c r="M69" s="39"/>
      <c r="S69" s="39"/>
      <c r="T69" s="39"/>
      <c r="U69" s="39"/>
      <c r="V69" s="107"/>
    </row>
    <row r="70" spans="5:22">
      <c r="E70" s="107"/>
      <c r="J70" s="39"/>
      <c r="K70" s="39"/>
      <c r="L70" s="39"/>
      <c r="M70" s="39"/>
      <c r="S70" s="39"/>
      <c r="T70" s="39"/>
      <c r="U70" s="39"/>
      <c r="V70" s="107"/>
    </row>
    <row r="71" spans="5:22">
      <c r="E71" s="107"/>
      <c r="J71" s="39"/>
      <c r="K71" s="39"/>
      <c r="L71" s="39"/>
      <c r="M71" s="39"/>
      <c r="S71" s="39"/>
      <c r="T71" s="39"/>
      <c r="U71" s="39"/>
      <c r="V71" s="107"/>
    </row>
    <row r="72" spans="5:22">
      <c r="E72" s="107"/>
      <c r="J72" s="39"/>
      <c r="K72" s="39"/>
      <c r="L72" s="39"/>
      <c r="M72" s="39"/>
      <c r="S72" s="39"/>
      <c r="T72" s="39"/>
      <c r="U72" s="39"/>
      <c r="V72" s="107"/>
    </row>
    <row r="73" spans="5:22">
      <c r="E73" s="107"/>
      <c r="J73" s="39"/>
      <c r="K73" s="39"/>
      <c r="L73" s="39"/>
      <c r="M73" s="39"/>
      <c r="S73" s="39"/>
      <c r="T73" s="39"/>
      <c r="U73" s="39"/>
      <c r="V73" s="107"/>
    </row>
    <row r="74" spans="5:22">
      <c r="E74" s="107"/>
      <c r="J74" s="39"/>
      <c r="K74" s="39"/>
      <c r="L74" s="39"/>
      <c r="M74" s="39"/>
      <c r="S74" s="39"/>
      <c r="T74" s="39"/>
      <c r="U74" s="39"/>
      <c r="V74" s="107"/>
    </row>
    <row r="75" spans="5:22">
      <c r="E75" s="107"/>
      <c r="J75" s="39"/>
      <c r="K75" s="39"/>
      <c r="L75" s="39"/>
      <c r="M75" s="39"/>
      <c r="S75" s="39"/>
      <c r="T75" s="39"/>
      <c r="U75" s="39"/>
      <c r="V75" s="107"/>
    </row>
    <row r="76" spans="5:22">
      <c r="E76" s="107"/>
      <c r="J76" s="39"/>
      <c r="K76" s="39"/>
      <c r="L76" s="39"/>
      <c r="M76" s="39"/>
      <c r="S76" s="39"/>
      <c r="T76" s="39"/>
      <c r="U76" s="39"/>
      <c r="V76" s="107"/>
    </row>
    <row r="77" spans="5:22">
      <c r="E77" s="107"/>
      <c r="J77" s="39"/>
      <c r="K77" s="39"/>
      <c r="L77" s="39"/>
      <c r="M77" s="39"/>
      <c r="S77" s="39"/>
      <c r="T77" s="39"/>
      <c r="U77" s="39"/>
    </row>
    <row r="78" spans="5:22">
      <c r="E78" s="107"/>
      <c r="J78" s="39"/>
      <c r="K78" s="39"/>
      <c r="L78" s="39"/>
      <c r="M78" s="39"/>
      <c r="S78" s="39"/>
      <c r="T78" s="39"/>
      <c r="U78" s="39"/>
    </row>
    <row r="79" spans="5:22">
      <c r="E79" s="107"/>
      <c r="J79" s="39"/>
      <c r="K79" s="39"/>
      <c r="L79" s="39"/>
      <c r="M79" s="39"/>
      <c r="S79" s="39"/>
      <c r="T79" s="39"/>
      <c r="U79" s="39"/>
    </row>
    <row r="80" spans="5:22">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L122" s="39"/>
      <c r="M122" s="39"/>
      <c r="S122" s="39"/>
      <c r="T122" s="39"/>
      <c r="U122" s="39"/>
    </row>
    <row r="123" spans="5:21">
      <c r="E123" s="107"/>
      <c r="J123" s="39"/>
      <c r="K123" s="39"/>
      <c r="L123" s="39"/>
      <c r="M123" s="39"/>
      <c r="S123" s="39"/>
      <c r="T123" s="39"/>
      <c r="U123" s="39"/>
    </row>
    <row r="124" spans="5:21">
      <c r="E124" s="107"/>
      <c r="J124" s="39"/>
      <c r="K124" s="39"/>
      <c r="L124" s="39"/>
      <c r="M124" s="39"/>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E148" s="107"/>
      <c r="S148" s="39"/>
      <c r="T148" s="39"/>
      <c r="U148" s="39"/>
    </row>
    <row r="149" spans="5:21">
      <c r="E149" s="107"/>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row r="190" spans="19:21">
      <c r="S190" s="39"/>
      <c r="T190" s="39"/>
      <c r="U190" s="39"/>
    </row>
    <row r="191" spans="19:21">
      <c r="S191" s="39"/>
      <c r="T191" s="39"/>
      <c r="U191"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N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pane xSplit="3" ySplit="5" topLeftCell="N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20:D34 D8:D17" xr:uid="{B9D5A1FC-5225-492E-A089-125EEAB84646}">
      <formula1>Flow_units</formula1>
    </dataValidation>
    <dataValidation type="custom" allowBlank="1" showInputMessage="1" showErrorMessage="1" error="Please do not change this formula" prompt="Please do not change this formula" sqref="W4 V6:V1048576 V1:V4 S5:V5" xr:uid="{710BD184-E310-410E-8A9E-AB8B63897359}">
      <formula1>"Please do not change this formula"</formula1>
    </dataValidation>
    <dataValidation type="custom" allowBlank="1" showInputMessage="1" showErrorMessage="1" error="Please do not change" sqref="R20:R22" xr:uid="{9F22114A-A46D-4AD3-9389-A775EFBE378E}">
      <formula1>"Please do not change"</formula1>
    </dataValidation>
    <dataValidation type="custom" allowBlank="1" showInputMessage="1" showErrorMessage="1" error="Please do not change this formula" sqref="O5:R5" xr:uid="{2F4F4E17-8529-4D2D-8ADD-3A70A60B88F9}">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28 S31:T35" xr:uid="{E0ED4356-93AB-4A46-BD1C-5655B72C4B1C}">
      <formula1>0</formula1>
    </dataValidation>
  </dataValidations>
  <hyperlinks>
    <hyperlink ref="I2:J2" location="Generic_Further_Transport!A1" display="Go to the next step of this pathway" xr:uid="{5CBA12F5-672C-489D-AB07-096061DE4731}"/>
  </hyperlinks>
  <pageMargins left="0" right="0" top="0" bottom="0" header="0" footer="0"/>
  <pageSetup paperSize="9" orientation="portrait" r:id="rId10"/>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2" id="{AE52E5E6-ED3E-4B54-8408-D8C53B9334CF}">
            <xm:f>AND(Path&lt;&gt;Units!$B$139,Master_Switch="On")</xm:f>
            <x14:dxf>
              <font>
                <color theme="0"/>
              </font>
              <fill>
                <patternFill>
                  <bgColor theme="0"/>
                </patternFill>
              </fill>
              <border>
                <left/>
                <right/>
                <top/>
                <bottom/>
                <vertical/>
                <horizontal/>
              </border>
            </x14:dxf>
          </x14:cfRule>
          <xm:sqref>A2:XFD200</xm:sqref>
        </x14:conditionalFormatting>
      </x14:conditionalFormatting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86735-E4CE-4D38-8BA8-1785F84A92F4}">
  <sheetPr codeName="Sheet40">
    <tabColor theme="0" tint="-0.34998626667073579"/>
  </sheetPr>
  <dimension ref="A1:AC188"/>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55"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18" customWidth="1"/>
    <col min="16" max="16" width="12.81640625" customWidth="1"/>
    <col min="17" max="17" width="18.81640625" style="12" customWidth="1"/>
    <col min="18" max="18" width="17.54296875" style="12" customWidth="1"/>
    <col min="19" max="20" width="20.7265625" style="13" customWidth="1"/>
    <col min="21" max="21" width="22.7265625" style="13" customWidth="1"/>
    <col min="22" max="22" width="20.26953125" style="39" customWidth="1"/>
    <col min="23" max="23" width="7.1796875" style="12" customWidth="1"/>
    <col min="24" max="24" width="26" style="12" customWidth="1"/>
    <col min="26" max="16384" width="7.1796875" style="12"/>
  </cols>
  <sheetData>
    <row r="1" spans="1:29" ht="31.9" customHeight="1">
      <c r="A1" s="80" t="str">
        <f>IF(AND(Path&lt;&gt;Units!$B$139,Master_Switch="On"),"User should not fill in this sheet, but switch to other non-blank GHG worksheets","")</f>
        <v>User should not fill in this sheet, but switch to other non-blank GHG worksheets</v>
      </c>
      <c r="E1" s="256"/>
    </row>
    <row r="2" spans="1:29" ht="20.5" customHeight="1">
      <c r="E2" s="256"/>
      <c r="I2" s="729" t="s">
        <v>1093</v>
      </c>
      <c r="J2" s="731"/>
      <c r="K2" s="732"/>
    </row>
    <row r="3" spans="1:29" ht="15" customHeight="1">
      <c r="E3" s="256"/>
    </row>
    <row r="4" spans="1:29" ht="15.65" customHeight="1" thickBot="1">
      <c r="B4" s="3"/>
      <c r="C4" s="3"/>
      <c r="D4" s="3"/>
      <c r="E4" s="455"/>
      <c r="F4" s="3"/>
      <c r="G4" s="3"/>
      <c r="H4" s="1"/>
      <c r="I4" s="1"/>
      <c r="J4" s="1"/>
      <c r="K4" s="1"/>
      <c r="L4" s="1"/>
      <c r="M4" s="1"/>
      <c r="N4" s="37"/>
      <c r="O4" s="1"/>
      <c r="P4" s="1"/>
      <c r="Q4" s="3"/>
      <c r="R4" s="3"/>
      <c r="S4" s="1"/>
      <c r="T4" s="1"/>
      <c r="U4" s="1"/>
      <c r="V4" s="37"/>
      <c r="W4" s="37"/>
      <c r="X4" s="3"/>
    </row>
    <row r="5" spans="1:29"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9" ht="15" thickTop="1">
      <c r="E6" s="457"/>
      <c r="R6"/>
      <c r="S6"/>
      <c r="T6"/>
      <c r="U6"/>
      <c r="V6"/>
    </row>
    <row r="7" spans="1:29">
      <c r="B7" s="145" t="s">
        <v>1097</v>
      </c>
      <c r="C7" s="145"/>
      <c r="D7" s="145"/>
      <c r="E7" s="324"/>
      <c r="F7" s="145"/>
      <c r="G7" s="145"/>
      <c r="H7" s="145"/>
      <c r="I7" s="145"/>
      <c r="J7" s="145"/>
      <c r="K7" s="145"/>
      <c r="L7" s="145"/>
      <c r="M7" s="145"/>
      <c r="N7" s="301"/>
      <c r="R7"/>
      <c r="S7"/>
      <c r="T7"/>
      <c r="U7"/>
      <c r="V7"/>
      <c r="W7" s="19"/>
      <c r="X7" s="19"/>
      <c r="Y7" s="19"/>
      <c r="Z7" s="19"/>
      <c r="AA7" s="19"/>
      <c r="AB7" s="19"/>
      <c r="AC7" s="19"/>
    </row>
    <row r="8" spans="1:29">
      <c r="B8" s="16" t="s">
        <v>1115</v>
      </c>
      <c r="C8" s="184" t="s">
        <v>1296</v>
      </c>
      <c r="D8" s="179" t="s">
        <v>459</v>
      </c>
      <c r="E8" s="35"/>
      <c r="F8" s="21"/>
      <c r="G8" s="21"/>
      <c r="H8" s="20"/>
      <c r="I8" s="20"/>
      <c r="J8" s="300"/>
      <c r="K8" s="302"/>
      <c r="L8" s="302"/>
      <c r="M8" s="302"/>
      <c r="N8" s="242">
        <f t="shared" ref="N8:N17" si="0">IF($D8="MWh/yr (LHV)",$E8,$J8*$E8*(1-$L8)/Conversion_kWh_to_MJ)</f>
        <v>0</v>
      </c>
      <c r="O8" s="12"/>
      <c r="P8" s="12"/>
      <c r="S8" s="107"/>
      <c r="T8" s="107"/>
      <c r="U8" s="107"/>
      <c r="V8" s="12"/>
      <c r="X8" s="24"/>
      <c r="Y8" s="12"/>
    </row>
    <row r="9" spans="1:29">
      <c r="B9" s="186" t="s">
        <v>1021</v>
      </c>
      <c r="C9" s="184" t="s">
        <v>1098</v>
      </c>
      <c r="D9" s="179" t="s">
        <v>479</v>
      </c>
      <c r="E9" s="35"/>
      <c r="F9" s="21"/>
      <c r="G9" s="21"/>
      <c r="H9" s="20"/>
      <c r="I9" s="36"/>
      <c r="J9" s="300"/>
      <c r="K9" s="302"/>
      <c r="L9" s="302"/>
      <c r="M9" s="302"/>
      <c r="N9" s="242">
        <f t="shared" si="0"/>
        <v>0</v>
      </c>
      <c r="O9" s="12"/>
      <c r="P9" s="12"/>
      <c r="S9" s="35" t="str">
        <f t="shared" ref="S9:S10" si="1">IF(B9="", "", IF(D9="MWh/yr (LHV)", "Use column to right", "Enter data here"))</f>
        <v>Use column to right</v>
      </c>
      <c r="T9" s="35" t="e">
        <f>INDEX(Proj_grid_intensity_kWh,MATCH(Operations_year,Proj_grid_year,0))/Conversion_kWh_to_MJ</f>
        <v>#N/A</v>
      </c>
      <c r="U9" s="35" t="s">
        <v>1064</v>
      </c>
      <c r="V9" s="263" t="str">
        <f t="shared" ref="V9:V17" si="2">IFERROR(IF(D9="tonnes/yr", $S9*$E9/($N$20*3.6), $T9*$E9*3.6/($N$20*3.6)), "Unfilled fields to left")</f>
        <v>Unfilled fields to left</v>
      </c>
      <c r="X9" s="25"/>
      <c r="Y9" s="12"/>
    </row>
    <row r="10" spans="1:29">
      <c r="B10" s="186" t="s">
        <v>1021</v>
      </c>
      <c r="C10" s="184"/>
      <c r="D10" s="179"/>
      <c r="E10" s="35"/>
      <c r="F10" s="21"/>
      <c r="G10" s="21"/>
      <c r="H10" s="20"/>
      <c r="I10" s="36"/>
      <c r="J10" s="300"/>
      <c r="K10" s="302"/>
      <c r="L10" s="302"/>
      <c r="M10" s="302"/>
      <c r="N10" s="242">
        <f t="shared" si="0"/>
        <v>0</v>
      </c>
      <c r="O10" s="12"/>
      <c r="P10" s="12"/>
      <c r="S10" s="300" t="str">
        <f t="shared" si="1"/>
        <v>Enter data here</v>
      </c>
      <c r="T10" s="300" t="str">
        <f t="shared" ref="T10" si="3">IF(B10="", "", IF(D10="MWh/yr (LHV)", "Enter data here", "Use column to left"))</f>
        <v>Use column to left</v>
      </c>
      <c r="U10" s="35" t="s">
        <v>1100</v>
      </c>
      <c r="V10" s="263" t="str">
        <f t="shared" si="2"/>
        <v>Unfilled fields to left</v>
      </c>
      <c r="X10" s="25"/>
      <c r="Y10" s="12"/>
    </row>
    <row r="11" spans="1:29">
      <c r="B11" s="186" t="s">
        <v>1042</v>
      </c>
      <c r="C11" s="184" t="s">
        <v>1043</v>
      </c>
      <c r="D11" s="179" t="s">
        <v>459</v>
      </c>
      <c r="E11" s="35"/>
      <c r="F11" s="24"/>
      <c r="G11" s="21"/>
      <c r="H11" s="20"/>
      <c r="I11" s="36"/>
      <c r="J11" s="300"/>
      <c r="K11" s="302"/>
      <c r="L11" s="302"/>
      <c r="M11" s="302"/>
      <c r="N11" s="242">
        <f t="shared" si="0"/>
        <v>0</v>
      </c>
      <c r="O11" s="12"/>
      <c r="P11" s="12"/>
      <c r="S11" s="300" t="str">
        <f t="shared" ref="S11:S17" si="4">IF(B11="", "", IF(D11="MWh/yr (LHV)", "Use column to right", "Enter data here"))</f>
        <v>Enter data here</v>
      </c>
      <c r="T11" s="300" t="str">
        <f t="shared" ref="T11:T17" si="5">IF(B11="", "", IF(D11="MWh/yr (LHV)", "Enter data here", "Use column to left"))</f>
        <v>Use column to left</v>
      </c>
      <c r="U11" s="35" t="s">
        <v>1100</v>
      </c>
      <c r="V11" s="263" t="str">
        <f t="shared" si="2"/>
        <v>Unfilled fields to left</v>
      </c>
      <c r="X11" s="25"/>
      <c r="Y11" s="12"/>
    </row>
    <row r="12" spans="1:29">
      <c r="B12" s="186" t="s">
        <v>1042</v>
      </c>
      <c r="C12" s="184" t="s">
        <v>1045</v>
      </c>
      <c r="D12" s="179" t="s">
        <v>459</v>
      </c>
      <c r="E12" s="35"/>
      <c r="F12" s="21"/>
      <c r="G12" s="21"/>
      <c r="H12" s="20"/>
      <c r="I12" s="36"/>
      <c r="J12" s="300"/>
      <c r="K12" s="302"/>
      <c r="L12" s="302"/>
      <c r="M12" s="302"/>
      <c r="N12" s="242">
        <f t="shared" si="0"/>
        <v>0</v>
      </c>
      <c r="O12" s="12"/>
      <c r="P12" s="12"/>
      <c r="S12" s="300" t="str">
        <f t="shared" si="4"/>
        <v>Enter data here</v>
      </c>
      <c r="T12" s="300" t="str">
        <f t="shared" si="5"/>
        <v>Use column to left</v>
      </c>
      <c r="U12" s="35" t="s">
        <v>1100</v>
      </c>
      <c r="V12" s="263" t="str">
        <f t="shared" si="2"/>
        <v>Unfilled fields to left</v>
      </c>
      <c r="X12" s="25"/>
      <c r="Y12" s="12"/>
    </row>
    <row r="13" spans="1:29">
      <c r="B13" s="186" t="s">
        <v>1051</v>
      </c>
      <c r="C13" s="184" t="s">
        <v>1010</v>
      </c>
      <c r="D13" s="179" t="s">
        <v>459</v>
      </c>
      <c r="E13" s="35"/>
      <c r="F13" s="21"/>
      <c r="G13" s="21"/>
      <c r="H13" s="20"/>
      <c r="I13" s="36"/>
      <c r="J13" s="300"/>
      <c r="K13" s="302"/>
      <c r="L13" s="302"/>
      <c r="M13" s="302"/>
      <c r="N13" s="242">
        <f t="shared" si="0"/>
        <v>0</v>
      </c>
      <c r="O13" s="12"/>
      <c r="P13" s="12"/>
      <c r="S13" s="300" t="str">
        <f t="shared" si="4"/>
        <v>Enter data here</v>
      </c>
      <c r="T13" s="300" t="str">
        <f t="shared" si="5"/>
        <v>Use column to left</v>
      </c>
      <c r="U13" s="35" t="s">
        <v>1100</v>
      </c>
      <c r="V13" s="263" t="str">
        <f t="shared" si="2"/>
        <v>Unfilled fields to left</v>
      </c>
      <c r="X13" s="25"/>
      <c r="Y13" s="12"/>
    </row>
    <row r="14" spans="1:29">
      <c r="B14" s="186" t="s">
        <v>1051</v>
      </c>
      <c r="C14" s="184" t="s">
        <v>1101</v>
      </c>
      <c r="D14" s="179" t="s">
        <v>459</v>
      </c>
      <c r="E14" s="35"/>
      <c r="F14" s="21"/>
      <c r="G14" s="21"/>
      <c r="H14" s="20"/>
      <c r="I14" s="36"/>
      <c r="J14" s="300"/>
      <c r="K14" s="302"/>
      <c r="L14" s="302"/>
      <c r="M14" s="302"/>
      <c r="N14" s="242">
        <f t="shared" si="0"/>
        <v>0</v>
      </c>
      <c r="O14" s="12"/>
      <c r="P14" s="12"/>
      <c r="S14" s="300" t="str">
        <f t="shared" si="4"/>
        <v>Enter data here</v>
      </c>
      <c r="T14" s="300" t="str">
        <f t="shared" si="5"/>
        <v>Use column to left</v>
      </c>
      <c r="U14" s="35" t="s">
        <v>1100</v>
      </c>
      <c r="V14" s="263" t="str">
        <f t="shared" si="2"/>
        <v>Unfilled fields to left</v>
      </c>
      <c r="X14" s="25"/>
      <c r="Y14" s="12"/>
    </row>
    <row r="15" spans="1:29">
      <c r="B15" s="186" t="s">
        <v>1177</v>
      </c>
      <c r="C15" s="184" t="s">
        <v>1055</v>
      </c>
      <c r="D15" s="179" t="s">
        <v>459</v>
      </c>
      <c r="E15" s="35"/>
      <c r="F15" s="21"/>
      <c r="G15" s="21"/>
      <c r="H15" s="20"/>
      <c r="I15" s="36"/>
      <c r="J15" s="300"/>
      <c r="K15" s="302"/>
      <c r="L15" s="302"/>
      <c r="M15" s="302"/>
      <c r="N15" s="242">
        <f t="shared" si="0"/>
        <v>0</v>
      </c>
      <c r="O15" s="12"/>
      <c r="P15" s="12"/>
      <c r="S15" s="300" t="str">
        <f t="shared" si="4"/>
        <v>Enter data here</v>
      </c>
      <c r="T15" s="300" t="str">
        <f t="shared" si="5"/>
        <v>Use column to left</v>
      </c>
      <c r="U15" s="35" t="s">
        <v>1100</v>
      </c>
      <c r="V15" s="263" t="str">
        <f t="shared" si="2"/>
        <v>Unfilled fields to left</v>
      </c>
      <c r="X15" s="25"/>
      <c r="Y15" s="12"/>
    </row>
    <row r="16" spans="1:29">
      <c r="B16" s="186" t="s">
        <v>1177</v>
      </c>
      <c r="C16" s="184" t="s">
        <v>1213</v>
      </c>
      <c r="D16" s="179" t="s">
        <v>459</v>
      </c>
      <c r="E16" s="35"/>
      <c r="F16" s="21"/>
      <c r="G16" s="21"/>
      <c r="H16" s="20"/>
      <c r="I16" s="36"/>
      <c r="J16" s="300"/>
      <c r="K16" s="302"/>
      <c r="L16" s="302"/>
      <c r="M16" s="302"/>
      <c r="N16" s="242">
        <f t="shared" si="0"/>
        <v>0</v>
      </c>
      <c r="O16" s="12"/>
      <c r="P16" s="12"/>
      <c r="S16" s="300" t="str">
        <f t="shared" si="4"/>
        <v>Enter data here</v>
      </c>
      <c r="T16" s="300" t="str">
        <f t="shared" si="5"/>
        <v>Use column to left</v>
      </c>
      <c r="U16" s="35" t="s">
        <v>1100</v>
      </c>
      <c r="V16" s="263" t="str">
        <f t="shared" si="2"/>
        <v>Unfilled fields to left</v>
      </c>
      <c r="X16" s="25"/>
      <c r="Y16" s="12"/>
    </row>
    <row r="17" spans="2:29">
      <c r="B17" s="16"/>
      <c r="C17" s="15"/>
      <c r="D17" s="179"/>
      <c r="E17" s="35"/>
      <c r="F17" s="21"/>
      <c r="G17" s="21"/>
      <c r="H17" s="20"/>
      <c r="I17" s="36"/>
      <c r="J17" s="300"/>
      <c r="K17" s="302"/>
      <c r="L17" s="302"/>
      <c r="M17" s="302"/>
      <c r="N17" s="242">
        <f t="shared" si="0"/>
        <v>0</v>
      </c>
      <c r="O17" s="12"/>
      <c r="P17" s="12"/>
      <c r="S17" s="300" t="str">
        <f t="shared" si="4"/>
        <v/>
      </c>
      <c r="T17" s="300" t="str">
        <f t="shared" si="5"/>
        <v/>
      </c>
      <c r="U17" s="35"/>
      <c r="V17" s="263" t="str">
        <f t="shared" si="2"/>
        <v>Unfilled fields to left</v>
      </c>
      <c r="X17" s="25"/>
      <c r="Y17" s="12"/>
    </row>
    <row r="18" spans="2:29">
      <c r="C18" s="17"/>
      <c r="D18" s="17"/>
      <c r="E18" s="506"/>
      <c r="F18" s="26"/>
      <c r="G18" s="27"/>
      <c r="H18" s="22"/>
      <c r="I18" s="22"/>
      <c r="J18" s="41"/>
      <c r="K18" s="41"/>
      <c r="L18" s="41"/>
      <c r="M18" s="41"/>
      <c r="N18" s="41"/>
      <c r="O18" s="12"/>
      <c r="P18" s="12"/>
      <c r="S18" s="41"/>
      <c r="T18" s="41"/>
      <c r="U18" s="41"/>
      <c r="V18" s="139"/>
      <c r="X18" s="27"/>
      <c r="Y18" s="12"/>
    </row>
    <row r="19" spans="2:29">
      <c r="B19" s="145" t="s">
        <v>1103</v>
      </c>
      <c r="C19" s="145"/>
      <c r="D19" s="145"/>
      <c r="E19" s="301"/>
      <c r="F19" s="145"/>
      <c r="G19" s="145"/>
      <c r="H19" s="145"/>
      <c r="I19" s="145"/>
      <c r="J19" s="301"/>
      <c r="K19" s="301"/>
      <c r="L19" s="301"/>
      <c r="M19" s="301"/>
      <c r="N19" s="301"/>
      <c r="R19"/>
      <c r="S19" s="40"/>
      <c r="T19" s="40"/>
      <c r="U19" s="40"/>
      <c r="V19" s="140"/>
      <c r="W19" s="19"/>
      <c r="X19" s="19"/>
      <c r="Y19" s="19"/>
      <c r="Z19" s="19"/>
      <c r="AA19" s="19"/>
      <c r="AB19" s="19"/>
      <c r="AC19" s="19"/>
    </row>
    <row r="20" spans="2:29">
      <c r="B20" s="16" t="s">
        <v>1104</v>
      </c>
      <c r="C20" s="184" t="s">
        <v>1296</v>
      </c>
      <c r="D20" s="179" t="s">
        <v>459</v>
      </c>
      <c r="E20" s="35"/>
      <c r="F20" s="21"/>
      <c r="G20" s="21"/>
      <c r="H20" s="21"/>
      <c r="I20" s="21"/>
      <c r="J20" s="300"/>
      <c r="K20" s="306"/>
      <c r="L20" s="306"/>
      <c r="M20" s="306"/>
      <c r="N20" s="242">
        <f t="shared" ref="N20:N31" si="6">IF($D20="MWh/yr (LHV)",$E20,$J20*$E20*(1-$L20)/Conversion_kWh_to_MJ)</f>
        <v>0</v>
      </c>
      <c r="O20" s="246" t="str">
        <f>IFERROR(N20/N8,"")</f>
        <v/>
      </c>
      <c r="P20" s="12"/>
      <c r="Q20" s="515">
        <f>IF($D20="MWh/yr (LHV)",$E20,$E20*MAX(0, $J20*(1-$L20)-2.441*$L20)/Conversion_kWh_to_MJ)</f>
        <v>0</v>
      </c>
      <c r="R20" s="245" t="str">
        <f>IFERROR(Q20/(SUM($Q$20:$Q$22)),"")</f>
        <v/>
      </c>
      <c r="S20" s="42"/>
      <c r="T20" s="42"/>
      <c r="U20" s="42"/>
      <c r="V20" s="141"/>
      <c r="X20" s="21"/>
      <c r="Y20" s="12"/>
    </row>
    <row r="21" spans="2:29" s="14" customFormat="1">
      <c r="B21" s="186" t="s">
        <v>1008</v>
      </c>
      <c r="C21" s="184" t="s">
        <v>1106</v>
      </c>
      <c r="D21" s="179" t="s">
        <v>459</v>
      </c>
      <c r="E21" s="35"/>
      <c r="F21" s="21"/>
      <c r="G21" s="21"/>
      <c r="H21" s="20"/>
      <c r="I21" s="33"/>
      <c r="J21" s="300"/>
      <c r="K21" s="302"/>
      <c r="L21" s="302"/>
      <c r="M21" s="302"/>
      <c r="N21" s="242">
        <f t="shared" si="6"/>
        <v>0</v>
      </c>
      <c r="O21" s="12"/>
      <c r="P21" s="12"/>
      <c r="Q21" s="515">
        <f>IF($D21="MWh/yr (LHV)",$E21,$E21*MAX(0, $J21*(1-$L21)-2.441*$L21)/Conversion_kWh_to_MJ)</f>
        <v>0</v>
      </c>
      <c r="R21" s="245" t="str">
        <f t="shared" ref="R21:R22" si="7">IFERROR(Q21/(SUM($Q$20:$Q$22)),"")</f>
        <v/>
      </c>
      <c r="S21" s="42"/>
      <c r="T21" s="42"/>
      <c r="U21" s="107"/>
      <c r="V21" s="12"/>
      <c r="W21" s="23"/>
      <c r="X21" s="21"/>
      <c r="Y21" s="23"/>
      <c r="Z21" s="42"/>
      <c r="AB21" s="12"/>
    </row>
    <row r="22" spans="2:29" s="14" customFormat="1">
      <c r="B22" s="186" t="s">
        <v>1008</v>
      </c>
      <c r="C22" s="184" t="s">
        <v>1107</v>
      </c>
      <c r="D22" s="179" t="s">
        <v>459</v>
      </c>
      <c r="E22" s="35"/>
      <c r="F22" s="21"/>
      <c r="G22" s="21"/>
      <c r="H22" s="20"/>
      <c r="I22" s="20"/>
      <c r="J22" s="302"/>
      <c r="K22" s="302"/>
      <c r="L22" s="302"/>
      <c r="M22" s="302"/>
      <c r="N22" s="242">
        <f t="shared" si="6"/>
        <v>0</v>
      </c>
      <c r="O22" s="12"/>
      <c r="P22" s="12"/>
      <c r="Q22" s="515">
        <f>IF($D22="MWh/yr (LHV)",$E22,$E22*MAX(0, $J22*(1-$L22)-2.441*$L22)/Conversion_kWh_to_MJ)</f>
        <v>0</v>
      </c>
      <c r="R22" s="245" t="str">
        <f t="shared" si="7"/>
        <v/>
      </c>
      <c r="S22" s="42"/>
      <c r="T22" s="42"/>
      <c r="U22" s="107"/>
      <c r="V22" s="12"/>
      <c r="W22" s="23"/>
      <c r="X22" s="21"/>
      <c r="Y22" s="23"/>
      <c r="Z22" s="42"/>
      <c r="AB22" s="12"/>
    </row>
    <row r="23" spans="2:29" s="14" customFormat="1">
      <c r="B23" s="186" t="s">
        <v>1013</v>
      </c>
      <c r="C23" s="184" t="s">
        <v>1108</v>
      </c>
      <c r="D23" s="179" t="s">
        <v>459</v>
      </c>
      <c r="E23" s="35"/>
      <c r="F23" s="21"/>
      <c r="G23" s="21"/>
      <c r="H23" s="20"/>
      <c r="I23" s="20"/>
      <c r="J23" s="302"/>
      <c r="K23" s="302"/>
      <c r="L23" s="302"/>
      <c r="M23" s="302"/>
      <c r="N23" s="242">
        <f t="shared" si="6"/>
        <v>0</v>
      </c>
      <c r="O23" s="12"/>
      <c r="P23" s="12"/>
      <c r="Q23" s="12"/>
      <c r="R23" s="12"/>
      <c r="S23" s="107"/>
      <c r="T23" s="107"/>
      <c r="U23" s="107"/>
      <c r="V23" s="12"/>
      <c r="W23" s="23"/>
      <c r="X23" s="21"/>
      <c r="Y23" s="23"/>
      <c r="Z23" s="42"/>
      <c r="AB23" s="12"/>
    </row>
    <row r="24" spans="2:29" s="14" customFormat="1">
      <c r="B24" s="186" t="s">
        <v>1013</v>
      </c>
      <c r="C24" s="184" t="s">
        <v>1015</v>
      </c>
      <c r="D24" s="179" t="s">
        <v>459</v>
      </c>
      <c r="E24" s="35"/>
      <c r="F24" s="21"/>
      <c r="G24" s="21"/>
      <c r="H24" s="20"/>
      <c r="I24" s="20"/>
      <c r="J24" s="302"/>
      <c r="K24" s="302"/>
      <c r="L24" s="302"/>
      <c r="M24" s="302"/>
      <c r="N24" s="242">
        <f t="shared" si="6"/>
        <v>0</v>
      </c>
      <c r="O24" s="12"/>
      <c r="P24" s="12"/>
      <c r="Q24" s="12"/>
      <c r="R24" s="12"/>
      <c r="S24" s="107"/>
      <c r="T24" s="107"/>
      <c r="U24" s="107"/>
      <c r="V24" s="12"/>
      <c r="W24" s="23"/>
      <c r="X24" s="21"/>
      <c r="Y24" s="23"/>
      <c r="Z24" s="42"/>
      <c r="AB24" s="12"/>
    </row>
    <row r="25" spans="2:29" s="14" customFormat="1">
      <c r="B25" s="186" t="s">
        <v>1016</v>
      </c>
      <c r="C25" s="184" t="s">
        <v>1017</v>
      </c>
      <c r="D25" s="179" t="s">
        <v>459</v>
      </c>
      <c r="E25" s="35"/>
      <c r="F25" s="21"/>
      <c r="G25" s="21"/>
      <c r="H25" s="20"/>
      <c r="I25" s="36"/>
      <c r="J25" s="300"/>
      <c r="K25" s="302"/>
      <c r="L25" s="302"/>
      <c r="M25" s="302"/>
      <c r="N25" s="242">
        <f t="shared" si="6"/>
        <v>0</v>
      </c>
      <c r="O25" s="12"/>
      <c r="P25" s="12"/>
      <c r="Q25" s="12"/>
      <c r="R25" s="12"/>
      <c r="S25" s="107"/>
      <c r="T25" s="107"/>
      <c r="U25" s="107"/>
      <c r="V25" s="12"/>
      <c r="X25" s="21"/>
    </row>
    <row r="26" spans="2:29" s="14" customFormat="1">
      <c r="B26" s="186" t="s">
        <v>1016</v>
      </c>
      <c r="C26" s="184" t="s">
        <v>1018</v>
      </c>
      <c r="D26" s="179" t="s">
        <v>459</v>
      </c>
      <c r="E26" s="35"/>
      <c r="F26" s="21"/>
      <c r="G26" s="21"/>
      <c r="H26" s="20"/>
      <c r="I26" s="36"/>
      <c r="J26" s="300"/>
      <c r="K26" s="302"/>
      <c r="L26" s="302"/>
      <c r="M26" s="302"/>
      <c r="N26" s="242">
        <f t="shared" si="6"/>
        <v>0</v>
      </c>
      <c r="O26" s="12"/>
      <c r="P26" s="12"/>
      <c r="Q26" s="12"/>
      <c r="R26" s="12"/>
      <c r="S26" s="107"/>
      <c r="T26" s="107"/>
      <c r="U26" s="107"/>
      <c r="V26" s="12"/>
      <c r="X26" s="21"/>
    </row>
    <row r="27" spans="2:29" s="14" customFormat="1">
      <c r="B27" s="186" t="s">
        <v>1057</v>
      </c>
      <c r="C27" s="184" t="s">
        <v>1182</v>
      </c>
      <c r="D27" s="179" t="s">
        <v>459</v>
      </c>
      <c r="E27" s="35"/>
      <c r="F27" s="34"/>
      <c r="G27" s="21"/>
      <c r="H27" s="20"/>
      <c r="I27" s="36"/>
      <c r="J27" s="300"/>
      <c r="K27" s="302"/>
      <c r="L27" s="302"/>
      <c r="M27" s="302"/>
      <c r="N27" s="242">
        <f t="shared" si="6"/>
        <v>0</v>
      </c>
      <c r="O27" s="12"/>
      <c r="P27" s="12"/>
      <c r="Q27" s="12"/>
      <c r="R27" s="12"/>
      <c r="S27" s="35">
        <v>1000</v>
      </c>
      <c r="T27" s="518"/>
      <c r="U27" s="35" t="s">
        <v>1118</v>
      </c>
      <c r="V27" s="263" t="str">
        <f>IFERROR(IF(D27="tonnes/yr", $S27*$E27/($N$20*3.6), $T27*$E27*3.6/($N$20*3.6)), "Unfilled fields to left")</f>
        <v>Unfilled fields to left</v>
      </c>
      <c r="X27" s="21"/>
    </row>
    <row r="28" spans="2:29" s="14" customFormat="1">
      <c r="B28" s="186" t="s">
        <v>1113</v>
      </c>
      <c r="C28" s="184" t="s">
        <v>1073</v>
      </c>
      <c r="D28" s="179" t="s">
        <v>459</v>
      </c>
      <c r="E28" s="35"/>
      <c r="F28" s="34"/>
      <c r="G28" s="21"/>
      <c r="H28" s="20"/>
      <c r="I28" s="36"/>
      <c r="J28" s="300"/>
      <c r="K28" s="302"/>
      <c r="L28" s="302"/>
      <c r="M28" s="302"/>
      <c r="N28" s="242">
        <f t="shared" si="6"/>
        <v>0</v>
      </c>
      <c r="O28" s="12"/>
      <c r="P28" s="12"/>
      <c r="Q28" s="12"/>
      <c r="R28" s="12"/>
      <c r="S28" s="35">
        <v>28000</v>
      </c>
      <c r="T28" s="518"/>
      <c r="U28" s="35" t="s">
        <v>1059</v>
      </c>
      <c r="V28" s="263" t="str">
        <f>IFERROR(IF(D28="tonnes/yr", $S28*$E28/($N$20*3.6), $T28*$E28*3.6/($N$20*3.6)), "Unfilled fields to left")</f>
        <v>Unfilled fields to left</v>
      </c>
      <c r="X28" s="21"/>
    </row>
    <row r="29" spans="2:29" s="14" customFormat="1">
      <c r="B29" s="186" t="s">
        <v>1113</v>
      </c>
      <c r="C29" s="184" t="s">
        <v>1075</v>
      </c>
      <c r="D29" s="179" t="s">
        <v>459</v>
      </c>
      <c r="E29" s="35"/>
      <c r="F29" s="21"/>
      <c r="G29" s="21"/>
      <c r="H29" s="20"/>
      <c r="I29" s="36"/>
      <c r="J29" s="300"/>
      <c r="K29" s="302"/>
      <c r="L29" s="302"/>
      <c r="M29" s="302"/>
      <c r="N29" s="242">
        <f t="shared" si="6"/>
        <v>0</v>
      </c>
      <c r="O29" s="12"/>
      <c r="P29" s="12"/>
      <c r="Q29" s="12"/>
      <c r="R29" s="12"/>
      <c r="S29" s="35">
        <v>265000</v>
      </c>
      <c r="T29" s="518"/>
      <c r="U29" s="35" t="s">
        <v>1059</v>
      </c>
      <c r="V29" s="263" t="str">
        <f>IFERROR(IF(D29="tonnes/yr", $S29*$E29/($N$20*3.6), $T29*$E29*3.6/($N$20*3.6)), "Unfilled fields to left")</f>
        <v>Unfilled fields to left</v>
      </c>
      <c r="X29" s="21"/>
    </row>
    <row r="30" spans="2:29" s="14" customFormat="1">
      <c r="B30" s="16"/>
      <c r="C30" s="15"/>
      <c r="D30" s="179"/>
      <c r="E30" s="35"/>
      <c r="F30" s="21"/>
      <c r="G30" s="21"/>
      <c r="H30" s="20"/>
      <c r="I30" s="36"/>
      <c r="J30" s="300"/>
      <c r="K30" s="302"/>
      <c r="L30" s="302"/>
      <c r="M30" s="302"/>
      <c r="N30" s="242">
        <f t="shared" si="6"/>
        <v>0</v>
      </c>
      <c r="O30" s="12"/>
      <c r="P30" s="12"/>
      <c r="Q30" s="12"/>
      <c r="R30" s="12"/>
      <c r="S30" s="300" t="str">
        <f t="shared" ref="S30:S31" si="8">IF(B30="", "", IF(D30="MWh/yr (LHV)", "Use column to right", "Enter data here"))</f>
        <v/>
      </c>
      <c r="T30" s="477"/>
      <c r="U30" s="302"/>
      <c r="V30" s="263" t="str">
        <f>IFERROR(IF(D30="tonnes/yr", $S30*$E30/($N$20*3.6), $T30*$E30*3.6/($N$20*3.6)), "Unfilled fields to left")</f>
        <v>Unfilled fields to left</v>
      </c>
      <c r="X30" s="21"/>
    </row>
    <row r="31" spans="2:29" s="14" customFormat="1">
      <c r="B31" s="16"/>
      <c r="C31" s="15"/>
      <c r="D31" s="179"/>
      <c r="E31" s="35"/>
      <c r="F31" s="21"/>
      <c r="G31" s="21"/>
      <c r="H31" s="20"/>
      <c r="I31" s="36"/>
      <c r="J31" s="300"/>
      <c r="K31" s="302"/>
      <c r="L31" s="302"/>
      <c r="M31" s="302"/>
      <c r="N31" s="242">
        <f t="shared" si="6"/>
        <v>0</v>
      </c>
      <c r="O31" s="12"/>
      <c r="P31" s="12"/>
      <c r="Q31" s="12"/>
      <c r="R31" s="12"/>
      <c r="S31" s="300" t="str">
        <f t="shared" si="8"/>
        <v/>
      </c>
      <c r="T31" s="477"/>
      <c r="U31" s="302"/>
      <c r="V31" s="263" t="str">
        <f>IFERROR(IF(D31="tonnes/yr", $S31*$E31/($N$20*3.6), $T31*$E31*3.6/($N$20*3.6)), "Unfilled fields to left")</f>
        <v>Unfilled fields to left</v>
      </c>
      <c r="X31" s="21"/>
    </row>
    <row r="32" spans="2:29">
      <c r="C32" s="17"/>
      <c r="D32" s="17"/>
      <c r="E32" s="140"/>
      <c r="F32" s="17"/>
      <c r="H32" s="18"/>
      <c r="I32" s="18"/>
      <c r="J32" s="40"/>
      <c r="K32" s="40"/>
      <c r="L32" s="40"/>
      <c r="M32" s="40"/>
      <c r="N32" s="40"/>
      <c r="O32" s="12"/>
      <c r="P32" s="12"/>
      <c r="S32" s="40"/>
      <c r="T32" s="40"/>
      <c r="U32" s="40"/>
      <c r="V32" s="140"/>
      <c r="Y32" s="12"/>
    </row>
    <row r="33" spans="2:25">
      <c r="D33" s="17"/>
      <c r="E33" s="140"/>
      <c r="J33" s="39"/>
      <c r="K33" s="39"/>
      <c r="L33" s="39"/>
      <c r="M33" s="39"/>
      <c r="O33" s="12"/>
      <c r="P33" s="12"/>
      <c r="S33" s="39"/>
      <c r="T33" s="39"/>
      <c r="U33" s="38" t="s">
        <v>1114</v>
      </c>
      <c r="V33" s="171">
        <f>SUM(V7:V32)</f>
        <v>0</v>
      </c>
      <c r="Y33" s="12"/>
    </row>
    <row r="34" spans="2:25">
      <c r="B34" s="145" t="s">
        <v>132</v>
      </c>
      <c r="C34" s="159"/>
      <c r="D34" s="159"/>
      <c r="E34" s="499"/>
      <c r="I34" s="12"/>
      <c r="J34" s="107"/>
      <c r="K34" s="107"/>
      <c r="L34" s="107"/>
      <c r="M34" s="107"/>
      <c r="N34" s="107"/>
      <c r="O34" s="12"/>
      <c r="P34" s="12"/>
      <c r="S34" s="107"/>
      <c r="T34" s="107"/>
      <c r="U34" s="107"/>
      <c r="V34" s="107"/>
      <c r="Y34" s="12"/>
    </row>
    <row r="35" spans="2:25">
      <c r="B35" s="16" t="s">
        <v>1086</v>
      </c>
      <c r="C35" s="15" t="s">
        <v>1087</v>
      </c>
      <c r="D35" s="15" t="s">
        <v>1088</v>
      </c>
      <c r="E35" s="501"/>
      <c r="G35" s="19"/>
      <c r="H35" s="12"/>
      <c r="I35" s="12"/>
      <c r="J35" s="107"/>
      <c r="K35" s="107"/>
      <c r="L35" s="107"/>
      <c r="M35" s="107"/>
      <c r="N35" s="107"/>
      <c r="O35" s="12"/>
      <c r="P35" s="12"/>
      <c r="S35" s="107"/>
      <c r="T35" s="107"/>
      <c r="U35" s="107"/>
      <c r="V35" s="12"/>
      <c r="X35" s="25"/>
      <c r="Y35" s="12"/>
    </row>
    <row r="36" spans="2:25">
      <c r="B36" s="16" t="s">
        <v>1119</v>
      </c>
      <c r="C36" s="15" t="s">
        <v>1120</v>
      </c>
      <c r="D36" s="15" t="s">
        <v>299</v>
      </c>
      <c r="E36" s="501"/>
      <c r="H36" s="12"/>
      <c r="I36" s="12"/>
      <c r="J36" s="107"/>
      <c r="K36" s="107"/>
      <c r="L36" s="107"/>
      <c r="M36" s="107"/>
      <c r="N36" s="107"/>
      <c r="O36" s="12"/>
      <c r="P36" s="12"/>
      <c r="S36" s="107"/>
      <c r="T36" s="107"/>
      <c r="U36" s="107"/>
      <c r="V36" s="12"/>
      <c r="X36" s="25"/>
      <c r="Y36" s="12"/>
    </row>
    <row r="37" spans="2:25">
      <c r="B37" s="16"/>
      <c r="C37" s="15"/>
      <c r="D37" s="15"/>
      <c r="E37" s="507"/>
      <c r="J37" s="39"/>
      <c r="K37" s="39"/>
      <c r="L37" s="39"/>
      <c r="M37" s="39"/>
      <c r="S37" s="39"/>
      <c r="T37" s="39"/>
      <c r="U37" s="39"/>
      <c r="V37" s="107"/>
      <c r="X37" s="25"/>
    </row>
    <row r="38" spans="2:25">
      <c r="B38" s="16"/>
      <c r="C38" s="15"/>
      <c r="D38" s="15"/>
      <c r="E38" s="507"/>
      <c r="J38" s="39"/>
      <c r="K38" s="39"/>
      <c r="L38" s="39"/>
      <c r="M38" s="39"/>
      <c r="S38" s="39"/>
      <c r="T38" s="39"/>
      <c r="U38" s="39"/>
      <c r="V38" s="107"/>
      <c r="X38" s="25"/>
    </row>
    <row r="39" spans="2:25">
      <c r="E39" s="107"/>
      <c r="J39" s="39"/>
      <c r="K39" s="39"/>
      <c r="L39" s="39"/>
      <c r="M39" s="39"/>
      <c r="S39" s="39"/>
      <c r="T39" s="39"/>
      <c r="U39" s="39"/>
      <c r="V39" s="107"/>
    </row>
    <row r="40" spans="2:25">
      <c r="E40" s="107"/>
      <c r="J40" s="39"/>
      <c r="K40" s="39"/>
      <c r="L40" s="39"/>
      <c r="M40" s="39"/>
      <c r="S40" s="39"/>
      <c r="T40" s="39"/>
      <c r="U40" s="39"/>
      <c r="V40" s="107"/>
    </row>
    <row r="41" spans="2:25">
      <c r="E41" s="107"/>
      <c r="J41" s="39"/>
      <c r="K41" s="39"/>
      <c r="L41" s="39"/>
      <c r="M41" s="39"/>
      <c r="S41" s="39"/>
      <c r="T41" s="39"/>
      <c r="U41" s="39"/>
      <c r="V41" s="107"/>
    </row>
    <row r="42" spans="2:25">
      <c r="E42" s="107"/>
      <c r="J42" s="39"/>
      <c r="K42" s="39"/>
      <c r="L42" s="39"/>
      <c r="M42" s="39"/>
      <c r="S42" s="39"/>
      <c r="T42" s="39"/>
      <c r="U42" s="39"/>
      <c r="V42" s="107"/>
    </row>
    <row r="43" spans="2:25">
      <c r="E43" s="107"/>
      <c r="J43" s="39"/>
      <c r="K43" s="39"/>
      <c r="L43" s="39"/>
      <c r="M43" s="39"/>
      <c r="S43" s="39"/>
      <c r="T43" s="39"/>
      <c r="U43" s="39"/>
      <c r="V43" s="107"/>
    </row>
    <row r="44" spans="2:25">
      <c r="E44" s="107"/>
      <c r="J44" s="39"/>
      <c r="K44" s="39"/>
      <c r="L44" s="39"/>
      <c r="M44" s="39"/>
      <c r="S44" s="39"/>
      <c r="T44" s="39"/>
      <c r="U44" s="39"/>
      <c r="V44" s="107"/>
    </row>
    <row r="45" spans="2:25">
      <c r="E45" s="107"/>
      <c r="J45" s="39"/>
      <c r="K45" s="39"/>
      <c r="L45" s="39"/>
      <c r="M45" s="39"/>
      <c r="S45" s="39"/>
      <c r="T45" s="39"/>
      <c r="U45" s="39"/>
      <c r="V45" s="107"/>
    </row>
    <row r="46" spans="2:25">
      <c r="E46" s="107"/>
      <c r="J46" s="39"/>
      <c r="K46" s="39"/>
      <c r="L46" s="39"/>
      <c r="M46" s="39"/>
      <c r="S46" s="39"/>
      <c r="T46" s="39"/>
      <c r="U46" s="39"/>
      <c r="V46" s="107"/>
    </row>
    <row r="47" spans="2:25">
      <c r="E47" s="107"/>
      <c r="J47" s="39"/>
      <c r="K47" s="39"/>
      <c r="L47" s="39"/>
      <c r="M47" s="39"/>
      <c r="S47" s="39"/>
      <c r="T47" s="39"/>
      <c r="U47" s="39"/>
      <c r="V47" s="107"/>
    </row>
    <row r="48" spans="2:25">
      <c r="E48" s="107"/>
      <c r="J48" s="39"/>
      <c r="K48" s="39"/>
      <c r="L48" s="39"/>
      <c r="M48" s="39"/>
      <c r="S48" s="39"/>
      <c r="T48" s="39"/>
      <c r="U48" s="39"/>
      <c r="V48" s="107"/>
    </row>
    <row r="49" spans="5:22">
      <c r="E49" s="107"/>
      <c r="J49" s="39"/>
      <c r="K49" s="39"/>
      <c r="L49" s="39"/>
      <c r="M49" s="39"/>
      <c r="S49" s="39"/>
      <c r="T49" s="39"/>
      <c r="U49" s="39"/>
      <c r="V49" s="107"/>
    </row>
    <row r="50" spans="5:22">
      <c r="E50" s="107"/>
      <c r="J50" s="39"/>
      <c r="K50" s="39"/>
      <c r="L50" s="39"/>
      <c r="M50" s="39"/>
      <c r="S50" s="39"/>
      <c r="T50" s="39"/>
      <c r="U50" s="39"/>
      <c r="V50" s="107"/>
    </row>
    <row r="51" spans="5:22">
      <c r="E51" s="107"/>
      <c r="J51" s="39"/>
      <c r="K51" s="39"/>
      <c r="L51" s="39"/>
      <c r="M51" s="39"/>
      <c r="S51" s="39"/>
      <c r="T51" s="39"/>
      <c r="U51" s="39"/>
      <c r="V51" s="107"/>
    </row>
    <row r="52" spans="5:22">
      <c r="E52" s="107"/>
      <c r="J52" s="39"/>
      <c r="K52" s="39"/>
      <c r="L52" s="39"/>
      <c r="M52" s="39"/>
      <c r="S52" s="39"/>
      <c r="T52" s="39"/>
      <c r="U52" s="39"/>
      <c r="V52" s="107"/>
    </row>
    <row r="53" spans="5:22">
      <c r="E53" s="107"/>
      <c r="J53" s="39"/>
      <c r="K53" s="39"/>
      <c r="L53" s="39"/>
      <c r="M53" s="39"/>
      <c r="S53" s="39"/>
      <c r="T53" s="39"/>
      <c r="U53" s="39"/>
      <c r="V53" s="107"/>
    </row>
    <row r="54" spans="5:22">
      <c r="E54" s="107"/>
      <c r="J54" s="39"/>
      <c r="K54" s="39"/>
      <c r="L54" s="39"/>
      <c r="M54" s="39"/>
      <c r="S54" s="39"/>
      <c r="T54" s="39"/>
      <c r="U54" s="39"/>
      <c r="V54" s="107"/>
    </row>
    <row r="55" spans="5:22">
      <c r="E55" s="107"/>
      <c r="J55" s="39"/>
      <c r="K55" s="39"/>
      <c r="L55" s="39"/>
      <c r="M55" s="39"/>
      <c r="S55" s="39"/>
      <c r="T55" s="39"/>
      <c r="U55" s="39"/>
      <c r="V55" s="107"/>
    </row>
    <row r="56" spans="5:22">
      <c r="E56" s="107"/>
      <c r="J56" s="39"/>
      <c r="K56" s="39"/>
      <c r="L56" s="39"/>
      <c r="M56" s="39"/>
      <c r="S56" s="39"/>
      <c r="T56" s="39"/>
      <c r="U56" s="39"/>
      <c r="V56" s="107"/>
    </row>
    <row r="57" spans="5:22">
      <c r="E57" s="107"/>
      <c r="J57" s="39"/>
      <c r="K57" s="39"/>
      <c r="L57" s="39"/>
      <c r="M57" s="39"/>
      <c r="S57" s="39"/>
      <c r="T57" s="39"/>
      <c r="U57" s="39"/>
      <c r="V57" s="107"/>
    </row>
    <row r="58" spans="5:22">
      <c r="E58" s="107"/>
      <c r="J58" s="39"/>
      <c r="K58" s="39"/>
      <c r="L58" s="39"/>
      <c r="M58" s="39"/>
      <c r="S58" s="39"/>
      <c r="T58" s="39"/>
      <c r="U58" s="39"/>
      <c r="V58" s="107"/>
    </row>
    <row r="59" spans="5:22">
      <c r="E59" s="107"/>
      <c r="J59" s="39"/>
      <c r="K59" s="39"/>
      <c r="L59" s="39"/>
      <c r="M59" s="39"/>
      <c r="S59" s="39"/>
      <c r="T59" s="39"/>
      <c r="U59" s="39"/>
      <c r="V59" s="107"/>
    </row>
    <row r="60" spans="5:22">
      <c r="E60" s="107"/>
      <c r="J60" s="39"/>
      <c r="K60" s="39"/>
      <c r="L60" s="39"/>
      <c r="M60" s="39"/>
      <c r="S60" s="39"/>
      <c r="T60" s="39"/>
      <c r="U60" s="39"/>
      <c r="V60" s="107"/>
    </row>
    <row r="61" spans="5:22">
      <c r="E61" s="107"/>
      <c r="J61" s="39"/>
      <c r="K61" s="39"/>
      <c r="L61" s="39"/>
      <c r="M61" s="39"/>
      <c r="S61" s="39"/>
      <c r="T61" s="39"/>
      <c r="U61" s="39"/>
      <c r="V61" s="107"/>
    </row>
    <row r="62" spans="5:22">
      <c r="E62" s="107"/>
      <c r="J62" s="39"/>
      <c r="K62" s="39"/>
      <c r="L62" s="39"/>
      <c r="M62" s="39"/>
      <c r="S62" s="39"/>
      <c r="T62" s="39"/>
      <c r="U62" s="39"/>
      <c r="V62" s="107"/>
    </row>
    <row r="63" spans="5:22">
      <c r="E63" s="107"/>
      <c r="J63" s="39"/>
      <c r="K63" s="39"/>
      <c r="L63" s="39"/>
      <c r="M63" s="39"/>
      <c r="S63" s="39"/>
      <c r="T63" s="39"/>
      <c r="U63" s="39"/>
      <c r="V63" s="107"/>
    </row>
    <row r="64" spans="5:22">
      <c r="E64" s="107"/>
      <c r="J64" s="39"/>
      <c r="K64" s="39"/>
      <c r="L64" s="39"/>
      <c r="M64" s="39"/>
      <c r="S64" s="39"/>
      <c r="T64" s="39"/>
      <c r="U64" s="39"/>
      <c r="V64" s="107"/>
    </row>
    <row r="65" spans="5:22">
      <c r="E65" s="107"/>
      <c r="J65" s="39"/>
      <c r="K65" s="39"/>
      <c r="L65" s="39"/>
      <c r="M65" s="39"/>
      <c r="S65" s="39"/>
      <c r="T65" s="39"/>
      <c r="U65" s="39"/>
      <c r="V65" s="107"/>
    </row>
    <row r="66" spans="5:22">
      <c r="E66" s="107"/>
      <c r="J66" s="39"/>
      <c r="K66" s="39"/>
      <c r="L66" s="39"/>
      <c r="M66" s="39"/>
      <c r="S66" s="39"/>
      <c r="T66" s="39"/>
      <c r="U66" s="39"/>
      <c r="V66" s="107"/>
    </row>
    <row r="67" spans="5:22">
      <c r="E67" s="107"/>
      <c r="J67" s="39"/>
      <c r="K67" s="39"/>
      <c r="L67" s="39"/>
      <c r="M67" s="39"/>
      <c r="S67" s="39"/>
      <c r="T67" s="39"/>
      <c r="U67" s="39"/>
      <c r="V67" s="107"/>
    </row>
    <row r="68" spans="5:22">
      <c r="E68" s="107"/>
      <c r="J68" s="39"/>
      <c r="K68" s="39"/>
      <c r="L68" s="39"/>
      <c r="M68" s="39"/>
      <c r="S68" s="39"/>
      <c r="T68" s="39"/>
      <c r="U68" s="39"/>
      <c r="V68" s="107"/>
    </row>
    <row r="69" spans="5:22">
      <c r="E69" s="107"/>
      <c r="J69" s="39"/>
      <c r="K69" s="39"/>
      <c r="L69" s="39"/>
      <c r="M69" s="39"/>
      <c r="S69" s="39"/>
      <c r="T69" s="39"/>
      <c r="U69" s="39"/>
      <c r="V69" s="107"/>
    </row>
    <row r="70" spans="5:22">
      <c r="E70" s="107"/>
      <c r="J70" s="39"/>
      <c r="K70" s="39"/>
      <c r="L70" s="39"/>
      <c r="M70" s="39"/>
      <c r="S70" s="39"/>
      <c r="T70" s="39"/>
      <c r="U70" s="39"/>
      <c r="V70" s="107"/>
    </row>
    <row r="71" spans="5:22">
      <c r="E71" s="107"/>
      <c r="J71" s="39"/>
      <c r="K71" s="39"/>
      <c r="L71" s="39"/>
      <c r="M71" s="39"/>
      <c r="S71" s="39"/>
      <c r="T71" s="39"/>
      <c r="U71" s="39"/>
      <c r="V71" s="107"/>
    </row>
    <row r="72" spans="5:22">
      <c r="E72" s="107"/>
      <c r="J72" s="39"/>
      <c r="K72" s="39"/>
      <c r="L72" s="39"/>
      <c r="M72" s="39"/>
      <c r="S72" s="39"/>
      <c r="T72" s="39"/>
      <c r="U72" s="39"/>
      <c r="V72" s="107"/>
    </row>
    <row r="73" spans="5:22">
      <c r="E73" s="107"/>
      <c r="J73" s="39"/>
      <c r="K73" s="39"/>
      <c r="L73" s="39"/>
      <c r="M73" s="39"/>
      <c r="S73" s="39"/>
      <c r="T73" s="39"/>
      <c r="U73" s="39"/>
      <c r="V73" s="107"/>
    </row>
    <row r="74" spans="5:22">
      <c r="E74" s="107"/>
      <c r="J74" s="39"/>
      <c r="K74" s="39"/>
      <c r="L74" s="39"/>
      <c r="M74" s="39"/>
      <c r="S74" s="39"/>
      <c r="T74" s="39"/>
      <c r="U74" s="39"/>
    </row>
    <row r="75" spans="5:22">
      <c r="E75" s="107"/>
      <c r="J75" s="39"/>
      <c r="K75" s="39"/>
      <c r="L75" s="39"/>
      <c r="M75" s="39"/>
      <c r="S75" s="39"/>
      <c r="T75" s="39"/>
      <c r="U75" s="39"/>
    </row>
    <row r="76" spans="5:22">
      <c r="E76" s="107"/>
      <c r="J76" s="39"/>
      <c r="K76" s="39"/>
      <c r="L76" s="39"/>
      <c r="M76" s="39"/>
      <c r="S76" s="39"/>
      <c r="T76" s="39"/>
      <c r="U76" s="39"/>
    </row>
    <row r="77" spans="5:22">
      <c r="E77" s="107"/>
      <c r="J77" s="39"/>
      <c r="K77" s="39"/>
      <c r="L77" s="39"/>
      <c r="M77" s="39"/>
      <c r="S77" s="39"/>
      <c r="T77" s="39"/>
      <c r="U77" s="39"/>
    </row>
    <row r="78" spans="5:22">
      <c r="E78" s="107"/>
      <c r="J78" s="39"/>
      <c r="K78" s="39"/>
      <c r="L78" s="39"/>
      <c r="M78" s="39"/>
      <c r="S78" s="39"/>
      <c r="T78" s="39"/>
      <c r="U78" s="39"/>
    </row>
    <row r="79" spans="5:22">
      <c r="E79" s="107"/>
      <c r="J79" s="39"/>
      <c r="K79" s="39"/>
      <c r="L79" s="39"/>
      <c r="M79" s="39"/>
      <c r="S79" s="39"/>
      <c r="T79" s="39"/>
      <c r="U79" s="39"/>
    </row>
    <row r="80" spans="5:22">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2D920366-22B2-4182-A65D-0EDBE614FB37}" showGridLines="0">
      <pane xSplit="3" ySplit="5" topLeftCell="D6" activePane="bottomRight" state="frozen"/>
      <selection pane="bottomRight"/>
      <pageMargins left="0" right="0" top="0" bottom="0" header="0" footer="0"/>
      <pageSetup paperSize="9" orientation="portrait" r:id="rId1"/>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D97B1299-69D0-4EE0-B673-CCF74742F96B}" state="hidden">
      <selection activeCell="I2" sqref="I2:K2"/>
      <pageMargins left="0" right="0" top="0" bottom="0" header="0" footer="0"/>
      <pageSetup paperSize="9" orientation="portrait" r:id="rId3"/>
    </customSheetView>
    <customSheetView guid="{3F0A4FBA-5323-448F-A023-B3E14C54064C}" showGridLines="0" state="hidden">
      <pane xSplit="3" ySplit="5" topLeftCell="N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6"/>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7"/>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F03309BC-D3FA-4CF2-833B-D6D9A95FE1FB}" showGridLines="0">
      <pane xSplit="3" ySplit="5" topLeftCell="N6" activePane="bottomRight" state="frozen"/>
      <selection pane="bottomRight" activeCell="D2" sqref="D2"/>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8B3B132F-4A63-40B4-B0F7-099B5B7DA092}">
      <formula1>Flow_units</formula1>
    </dataValidation>
    <dataValidation type="custom" allowBlank="1" showInputMessage="1" showErrorMessage="1" error="Please do not change this formula" prompt="Please do not change this formula" sqref="O6:Q1048576 V6:V1048576 W4 V1:V4 R6:R19 R23:R1048576 N1:N1048576 O1:R4 S5:V5" xr:uid="{B78AC99E-3181-4505-A25C-9FEE3B5D2CDF}">
      <formula1>"Please do not change this formula"</formula1>
    </dataValidation>
    <dataValidation type="custom" allowBlank="1" showInputMessage="1" showErrorMessage="1" error="Please do not change" sqref="R20:R22" xr:uid="{48D9217C-78C0-4900-A3A9-F85DA1FF6541}">
      <formula1>"Please do not change"</formula1>
    </dataValidation>
    <dataValidation type="custom" allowBlank="1" showInputMessage="1" showErrorMessage="1" error="Please do not change this formula" sqref="O5:R5" xr:uid="{CE86C54D-CBE6-494C-8FB7-3033DCA2D95A}">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89C670FA-59B7-4B18-BE87-3E3343D58D51}">
      <formula1>0</formula1>
    </dataValidation>
  </dataValidations>
  <hyperlinks>
    <hyperlink ref="I2:J2" location="Generic_Conversion!A1" display="Go to the next step of this pathway" xr:uid="{C078FE84-897F-4F27-8268-57C91A80956D}"/>
  </hyperlinks>
  <pageMargins left="0" right="0" top="0" bottom="0" header="0" footer="0"/>
  <pageSetup paperSize="9" orientation="portrait" r:id="rId10"/>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2" id="{35EE499B-80A6-4655-93BA-793CD38654AC}">
            <xm:f>AND(Path&lt;&gt;Units!$B$139,Master_Switch="On")</xm:f>
            <x14:dxf>
              <font>
                <color theme="0"/>
              </font>
              <fill>
                <patternFill>
                  <bgColor theme="0"/>
                </patternFill>
              </fill>
              <border>
                <left/>
                <right/>
                <top/>
                <bottom/>
                <vertical/>
                <horizontal/>
              </border>
            </x14:dxf>
          </x14:cfRule>
          <xm:sqref>A2:XFD200</xm:sqref>
        </x14:conditionalFormatting>
      </x14:conditionalFormatting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F23B4-8022-4406-8CDC-3242A5CEC451}">
  <sheetPr codeName="Sheet41">
    <tabColor theme="0" tint="-0.34998626667073579"/>
  </sheetPr>
  <dimension ref="A1:AC259"/>
  <sheetViews>
    <sheetView showGridLines="0" zoomScaleNormal="100" workbookViewId="0">
      <pane xSplit="3" ySplit="5" topLeftCell="D6" activePane="bottomRight" state="frozen"/>
      <selection pane="topRight"/>
      <selection pane="bottomLeft"/>
      <selection pane="bottomRight"/>
    </sheetView>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457"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9" customWidth="1"/>
    <col min="15" max="15" width="17.81640625" customWidth="1"/>
    <col min="16" max="16" width="11.54296875" customWidth="1"/>
    <col min="17" max="17" width="18.81640625" style="12" customWidth="1"/>
    <col min="18" max="18" width="17.54296875" style="12" customWidth="1"/>
    <col min="19" max="20" width="20.7265625" style="13" customWidth="1"/>
    <col min="21" max="21" width="22.7265625" style="13" customWidth="1"/>
    <col min="22" max="22" width="20.26953125" style="39" customWidth="1"/>
    <col min="23" max="23" width="7.1796875" style="12"/>
    <col min="24" max="24" width="26" style="12" customWidth="1"/>
    <col min="26" max="16384" width="7.1796875" style="12"/>
  </cols>
  <sheetData>
    <row r="1" spans="1:28" ht="31.9" customHeight="1">
      <c r="A1" s="80" t="str">
        <f>IF(AND(Path&lt;&gt;Units!$B$139,Master_Switch="On"),"User should not fill in this sheet, but switch to other non-blank GHG worksheets","")</f>
        <v>User should not fill in this sheet, but switch to other non-blank GHG worksheets</v>
      </c>
      <c r="E1" s="256"/>
    </row>
    <row r="2" spans="1:28" ht="20.5" customHeight="1">
      <c r="E2" s="256"/>
      <c r="I2" s="729" t="s">
        <v>983</v>
      </c>
      <c r="J2" s="731"/>
      <c r="K2" s="732"/>
    </row>
    <row r="3" spans="1:28" ht="15" customHeight="1">
      <c r="E3" s="256"/>
    </row>
    <row r="4" spans="1:28" ht="15.65" customHeight="1" thickBot="1">
      <c r="B4" s="3"/>
      <c r="C4" s="3"/>
      <c r="D4" s="3"/>
      <c r="E4" s="455"/>
      <c r="F4" s="3"/>
      <c r="G4" s="3"/>
      <c r="H4" s="1"/>
      <c r="I4" s="1"/>
      <c r="J4" s="1"/>
      <c r="K4" s="1"/>
      <c r="L4" s="1"/>
      <c r="M4" s="1"/>
      <c r="N4" s="37"/>
      <c r="O4" s="1"/>
      <c r="P4" s="1"/>
      <c r="Q4" s="1"/>
      <c r="R4" s="3"/>
      <c r="S4" s="1"/>
      <c r="T4" s="1"/>
      <c r="U4" s="1"/>
      <c r="V4" s="37"/>
      <c r="W4" s="37"/>
      <c r="X4" s="37"/>
    </row>
    <row r="5" spans="1:28" ht="94.15" customHeight="1" thickTop="1" thickBot="1">
      <c r="B5" s="11" t="s">
        <v>984</v>
      </c>
      <c r="C5" s="11" t="s">
        <v>985</v>
      </c>
      <c r="D5" s="11" t="s">
        <v>36</v>
      </c>
      <c r="E5" s="458" t="s">
        <v>771</v>
      </c>
      <c r="F5" s="11" t="s">
        <v>986</v>
      </c>
      <c r="G5" s="11" t="s">
        <v>987</v>
      </c>
      <c r="H5" s="11" t="s">
        <v>988</v>
      </c>
      <c r="I5" s="11" t="s">
        <v>989</v>
      </c>
      <c r="J5" s="11" t="s">
        <v>990</v>
      </c>
      <c r="K5" s="11" t="s">
        <v>991</v>
      </c>
      <c r="L5" s="11" t="s">
        <v>992</v>
      </c>
      <c r="M5" s="11" t="s">
        <v>993</v>
      </c>
      <c r="N5" s="513" t="s">
        <v>994</v>
      </c>
      <c r="O5" s="11" t="s">
        <v>1095</v>
      </c>
      <c r="P5" s="11"/>
      <c r="Q5" s="513" t="s">
        <v>996</v>
      </c>
      <c r="R5" s="11" t="s">
        <v>1096</v>
      </c>
      <c r="S5" s="11" t="s">
        <v>998</v>
      </c>
      <c r="T5" s="11" t="s">
        <v>999</v>
      </c>
      <c r="U5" s="11" t="s">
        <v>1000</v>
      </c>
      <c r="V5" s="11" t="s">
        <v>1001</v>
      </c>
      <c r="W5" s="11"/>
      <c r="X5" s="11" t="s">
        <v>1002</v>
      </c>
    </row>
    <row r="6" spans="1:28" ht="15" thickTop="1">
      <c r="E6" s="256"/>
      <c r="H6" s="19"/>
      <c r="I6" s="19"/>
      <c r="O6" s="12"/>
      <c r="P6" s="12"/>
      <c r="Q6" s="39"/>
      <c r="V6" s="107"/>
    </row>
    <row r="7" spans="1:28">
      <c r="B7" s="145" t="s">
        <v>1003</v>
      </c>
      <c r="C7" s="145"/>
      <c r="D7" s="145"/>
      <c r="E7" s="324"/>
      <c r="F7" s="145"/>
      <c r="G7" s="145"/>
      <c r="H7" s="145"/>
      <c r="I7" s="145"/>
      <c r="J7" s="145"/>
      <c r="K7" s="145"/>
      <c r="L7" s="145"/>
      <c r="M7" s="145"/>
      <c r="N7" s="301"/>
      <c r="O7" s="556"/>
      <c r="P7" s="556"/>
      <c r="Q7" s="556"/>
      <c r="R7" s="556"/>
      <c r="S7" s="18"/>
      <c r="T7" s="18"/>
      <c r="U7" s="18"/>
      <c r="V7" s="140"/>
      <c r="Y7" s="12"/>
    </row>
    <row r="8" spans="1:28">
      <c r="B8" s="16" t="s">
        <v>1004</v>
      </c>
      <c r="C8" s="184" t="s">
        <v>1296</v>
      </c>
      <c r="D8" s="179" t="s">
        <v>459</v>
      </c>
      <c r="E8" s="35"/>
      <c r="F8" s="24"/>
      <c r="G8" s="21"/>
      <c r="H8" s="21"/>
      <c r="I8" s="21"/>
      <c r="J8" s="300"/>
      <c r="K8" s="306"/>
      <c r="L8" s="306"/>
      <c r="M8" s="306"/>
      <c r="N8" s="242">
        <f t="shared" ref="N8:N17" si="0">IF($D8="MWh/yr (LHV)",$E8,$J8*$E8*(1-$L8)/Conversion_kWh_to_MJ)</f>
        <v>0</v>
      </c>
      <c r="O8" s="12"/>
      <c r="P8" s="12"/>
      <c r="Q8" s="555"/>
      <c r="S8" s="40"/>
      <c r="T8" s="40"/>
      <c r="U8" s="40"/>
      <c r="V8" s="140"/>
      <c r="X8" s="21"/>
      <c r="Y8" s="12"/>
    </row>
    <row r="9" spans="1:28">
      <c r="B9" s="16" t="s">
        <v>1006</v>
      </c>
      <c r="C9" s="15" t="s">
        <v>1121</v>
      </c>
      <c r="D9" s="15" t="s">
        <v>459</v>
      </c>
      <c r="E9" s="35">
        <f>Hydrogen_flow</f>
        <v>0</v>
      </c>
      <c r="F9" s="21"/>
      <c r="G9" s="21"/>
      <c r="H9" s="21"/>
      <c r="I9" s="21"/>
      <c r="J9" s="35">
        <v>120</v>
      </c>
      <c r="K9" s="306"/>
      <c r="L9" s="552">
        <v>0</v>
      </c>
      <c r="M9" s="306"/>
      <c r="N9" s="242">
        <f t="shared" si="0"/>
        <v>0</v>
      </c>
      <c r="O9" s="244" t="str">
        <f>IFERROR(N9/N8,"")</f>
        <v/>
      </c>
      <c r="P9" s="39"/>
      <c r="Q9" s="515">
        <f>IF($D9="MWh/yr (LHV)",$E9,$E9*MAX(0, $J9*(1-$L9)-2.441*$L9)/Conversion_kWh_to_MJ)</f>
        <v>0</v>
      </c>
      <c r="R9" s="245" t="str">
        <f>IFERROR(Q9/(SUM($Q$9:$Q$13)),"")</f>
        <v/>
      </c>
      <c r="S9" s="42"/>
      <c r="T9" s="42"/>
      <c r="U9" s="42"/>
      <c r="V9" s="12"/>
      <c r="X9" s="21"/>
      <c r="Y9" s="12"/>
    </row>
    <row r="10" spans="1:28">
      <c r="B10" s="186" t="s">
        <v>1008</v>
      </c>
      <c r="C10" s="184" t="s">
        <v>1009</v>
      </c>
      <c r="D10" s="179" t="s">
        <v>479</v>
      </c>
      <c r="E10" s="35"/>
      <c r="F10" s="21"/>
      <c r="G10" s="21"/>
      <c r="H10" s="20"/>
      <c r="I10" s="33"/>
      <c r="J10" s="300"/>
      <c r="K10" s="302"/>
      <c r="L10" s="302"/>
      <c r="M10" s="302"/>
      <c r="N10" s="242">
        <f t="shared" si="0"/>
        <v>0</v>
      </c>
      <c r="O10" s="39"/>
      <c r="P10" s="39"/>
      <c r="Q10" s="515">
        <f>IF($D10="MWh/yr (LHV)",$E10,$E10*MAX(0, $J10*(1-$L10)-2.441*$L10)/Conversion_kWh_to_MJ)</f>
        <v>0</v>
      </c>
      <c r="R10" s="245" t="str">
        <f t="shared" ref="R10:R13" si="1">IFERROR(Q10/(SUM($Q$9:$Q$13)),"")</f>
        <v/>
      </c>
      <c r="S10" s="42"/>
      <c r="T10" s="42"/>
      <c r="U10" s="42"/>
      <c r="V10" s="19"/>
      <c r="W10" s="23"/>
      <c r="X10" s="21"/>
      <c r="Y10" s="12"/>
    </row>
    <row r="11" spans="1:28">
      <c r="B11" s="186" t="s">
        <v>1008</v>
      </c>
      <c r="C11" s="184" t="s">
        <v>1098</v>
      </c>
      <c r="D11" s="179" t="s">
        <v>479</v>
      </c>
      <c r="E11" s="35"/>
      <c r="F11" s="21"/>
      <c r="G11" s="21"/>
      <c r="H11" s="20"/>
      <c r="I11" s="20"/>
      <c r="J11" s="302"/>
      <c r="K11" s="302"/>
      <c r="L11" s="302"/>
      <c r="M11" s="302"/>
      <c r="N11" s="242">
        <f t="shared" si="0"/>
        <v>0</v>
      </c>
      <c r="O11" s="39"/>
      <c r="P11" s="39"/>
      <c r="Q11" s="515">
        <f>IF($D11="MWh/yr (LHV)",$E11,$E11*MAX(0, $J11*(1-$L11)-2.441*$L11)/Conversion_kWh_to_MJ)</f>
        <v>0</v>
      </c>
      <c r="R11" s="245" t="str">
        <f t="shared" si="1"/>
        <v/>
      </c>
      <c r="S11" s="42"/>
      <c r="T11" s="42"/>
      <c r="U11" s="42"/>
      <c r="V11" s="14"/>
      <c r="W11" s="23"/>
      <c r="X11" s="21"/>
      <c r="Y11" s="12"/>
    </row>
    <row r="12" spans="1:28">
      <c r="B12" s="186" t="s">
        <v>1008</v>
      </c>
      <c r="C12" s="184" t="s">
        <v>1011</v>
      </c>
      <c r="D12" s="179" t="s">
        <v>459</v>
      </c>
      <c r="E12" s="35"/>
      <c r="F12" s="21"/>
      <c r="G12" s="21"/>
      <c r="H12" s="20"/>
      <c r="I12" s="20"/>
      <c r="J12" s="302"/>
      <c r="K12" s="302"/>
      <c r="L12" s="302"/>
      <c r="M12" s="302"/>
      <c r="N12" s="242">
        <f t="shared" si="0"/>
        <v>0</v>
      </c>
      <c r="O12" s="39"/>
      <c r="P12" s="39"/>
      <c r="Q12" s="515">
        <f>IF($D12="MWh/yr (LHV)",$E12,$E12*MAX(0, $J12*(1-$L12)-2.441*$L12)/Conversion_kWh_to_MJ)</f>
        <v>0</v>
      </c>
      <c r="R12" s="245" t="str">
        <f t="shared" si="1"/>
        <v/>
      </c>
      <c r="S12" s="40"/>
      <c r="T12" s="40"/>
      <c r="U12" s="40"/>
      <c r="V12" s="140"/>
      <c r="X12" s="21"/>
      <c r="Y12" s="12"/>
    </row>
    <row r="13" spans="1:28">
      <c r="B13" s="186" t="s">
        <v>1008</v>
      </c>
      <c r="C13" s="184" t="s">
        <v>1012</v>
      </c>
      <c r="D13" s="179" t="s">
        <v>459</v>
      </c>
      <c r="E13" s="35"/>
      <c r="F13" s="21"/>
      <c r="G13" s="21"/>
      <c r="H13" s="20"/>
      <c r="I13" s="20"/>
      <c r="J13" s="302"/>
      <c r="K13" s="302"/>
      <c r="L13" s="302"/>
      <c r="M13" s="302"/>
      <c r="N13" s="242">
        <f t="shared" si="0"/>
        <v>0</v>
      </c>
      <c r="O13" s="39"/>
      <c r="P13" s="39"/>
      <c r="Q13" s="515">
        <f>IF($D13="MWh/yr (LHV)",$E13,$E13*MAX(0, $J13*(1-$L13)-2.441*$L13)/Conversion_kWh_to_MJ)</f>
        <v>0</v>
      </c>
      <c r="R13" s="245" t="str">
        <f t="shared" si="1"/>
        <v/>
      </c>
      <c r="S13" s="40"/>
      <c r="T13" s="40"/>
      <c r="U13" s="40"/>
      <c r="V13" s="140"/>
      <c r="X13" s="21"/>
      <c r="Y13" s="12"/>
    </row>
    <row r="14" spans="1:28" s="14" customFormat="1">
      <c r="B14" s="186" t="s">
        <v>1013</v>
      </c>
      <c r="C14" s="184" t="s">
        <v>1108</v>
      </c>
      <c r="D14" s="179" t="s">
        <v>459</v>
      </c>
      <c r="E14" s="35"/>
      <c r="F14" s="21"/>
      <c r="G14" s="21"/>
      <c r="H14" s="20"/>
      <c r="I14" s="20"/>
      <c r="J14" s="302"/>
      <c r="K14" s="302"/>
      <c r="L14" s="302"/>
      <c r="M14" s="302"/>
      <c r="N14" s="242">
        <f t="shared" si="0"/>
        <v>0</v>
      </c>
      <c r="Q14" s="12"/>
      <c r="R14" s="12"/>
      <c r="S14" s="107"/>
      <c r="T14" s="107"/>
      <c r="U14" s="107"/>
      <c r="V14" s="12"/>
      <c r="W14" s="23"/>
      <c r="X14" s="21"/>
      <c r="Y14" s="23"/>
      <c r="Z14" s="42"/>
      <c r="AB14" s="12"/>
    </row>
    <row r="15" spans="1:28" s="14" customFormat="1">
      <c r="B15" s="186" t="s">
        <v>1013</v>
      </c>
      <c r="C15" s="184" t="s">
        <v>1015</v>
      </c>
      <c r="D15" s="179" t="s">
        <v>459</v>
      </c>
      <c r="E15" s="35"/>
      <c r="F15" s="21"/>
      <c r="G15" s="21"/>
      <c r="H15" s="20"/>
      <c r="I15" s="20"/>
      <c r="J15" s="302"/>
      <c r="K15" s="302"/>
      <c r="L15" s="302"/>
      <c r="M15" s="302"/>
      <c r="N15" s="242">
        <f t="shared" si="0"/>
        <v>0</v>
      </c>
      <c r="Q15" s="12"/>
      <c r="R15" s="12"/>
      <c r="S15" s="107"/>
      <c r="T15" s="107"/>
      <c r="U15" s="107"/>
      <c r="V15" s="12"/>
      <c r="W15" s="23"/>
      <c r="X15" s="21"/>
      <c r="Y15" s="23"/>
      <c r="Z15" s="42"/>
      <c r="AB15" s="12"/>
    </row>
    <row r="16" spans="1:28" s="14" customFormat="1">
      <c r="B16" s="186" t="s">
        <v>1016</v>
      </c>
      <c r="C16" s="184" t="s">
        <v>1017</v>
      </c>
      <c r="D16" s="179" t="s">
        <v>459</v>
      </c>
      <c r="E16" s="35"/>
      <c r="F16" s="21"/>
      <c r="G16" s="21"/>
      <c r="H16" s="20"/>
      <c r="I16" s="36"/>
      <c r="J16" s="300"/>
      <c r="K16" s="302"/>
      <c r="L16" s="302"/>
      <c r="M16" s="302"/>
      <c r="N16" s="242">
        <f t="shared" si="0"/>
        <v>0</v>
      </c>
      <c r="Q16" s="12"/>
      <c r="R16" s="12"/>
      <c r="S16" s="107"/>
      <c r="T16" s="107"/>
      <c r="U16" s="107"/>
      <c r="V16" s="12"/>
      <c r="X16" s="21"/>
    </row>
    <row r="17" spans="2:29" s="14" customFormat="1">
      <c r="B17" s="186" t="s">
        <v>1016</v>
      </c>
      <c r="C17" s="184" t="s">
        <v>1018</v>
      </c>
      <c r="D17" s="179" t="s">
        <v>459</v>
      </c>
      <c r="E17" s="35"/>
      <c r="F17" s="21"/>
      <c r="G17" s="21"/>
      <c r="H17" s="20"/>
      <c r="I17" s="36"/>
      <c r="J17" s="300"/>
      <c r="K17" s="302"/>
      <c r="L17" s="302"/>
      <c r="M17" s="302"/>
      <c r="N17" s="242">
        <f t="shared" si="0"/>
        <v>0</v>
      </c>
      <c r="Q17" s="12"/>
      <c r="R17" s="12"/>
      <c r="S17" s="107"/>
      <c r="T17" s="107"/>
      <c r="U17" s="107"/>
      <c r="V17" s="12"/>
      <c r="X17" s="21"/>
    </row>
    <row r="18" spans="2:29">
      <c r="B18" s="68"/>
      <c r="C18" s="69"/>
      <c r="D18" s="69"/>
      <c r="E18" s="503"/>
      <c r="F18" s="76"/>
      <c r="G18" s="79"/>
      <c r="H18" s="71"/>
      <c r="I18" s="71"/>
      <c r="J18" s="75"/>
      <c r="K18" s="73"/>
      <c r="L18" s="73"/>
      <c r="M18" s="73"/>
      <c r="N18" s="73"/>
      <c r="O18" s="73"/>
      <c r="P18" s="73"/>
      <c r="S18" s="40"/>
      <c r="T18" s="40"/>
      <c r="U18" s="40"/>
      <c r="V18" s="140"/>
      <c r="X18" s="76"/>
      <c r="Y18" s="12"/>
    </row>
    <row r="19" spans="2:29">
      <c r="B19" s="145" t="s">
        <v>1123</v>
      </c>
      <c r="C19" s="146"/>
      <c r="D19" s="146"/>
      <c r="E19" s="147"/>
      <c r="F19" s="148"/>
      <c r="G19" s="149"/>
      <c r="H19" s="150"/>
      <c r="I19" s="150"/>
      <c r="J19" s="147"/>
      <c r="K19" s="492"/>
      <c r="L19" s="492"/>
      <c r="M19" s="492"/>
      <c r="N19" s="491"/>
      <c r="O19" s="151"/>
      <c r="P19" s="151"/>
      <c r="Q19" s="152"/>
      <c r="R19" s="152"/>
      <c r="S19" s="480"/>
      <c r="T19" s="480"/>
      <c r="U19" s="480"/>
      <c r="V19" s="171">
        <f>SUM(V20:V29)</f>
        <v>0</v>
      </c>
      <c r="Y19" s="12"/>
    </row>
    <row r="20" spans="2:29">
      <c r="B20" s="186" t="s">
        <v>1021</v>
      </c>
      <c r="C20" s="184" t="s">
        <v>1299</v>
      </c>
      <c r="D20" s="179" t="s">
        <v>479</v>
      </c>
      <c r="E20" s="35"/>
      <c r="F20" s="24"/>
      <c r="G20" s="21"/>
      <c r="H20" s="21"/>
      <c r="I20" s="21"/>
      <c r="J20" s="303"/>
      <c r="K20" s="306"/>
      <c r="L20" s="306"/>
      <c r="M20" s="306"/>
      <c r="N20" s="242">
        <f t="shared" ref="N20:N29" si="2">IF($D20="MWh/yr (LHV)",$E20,$J20*$E20*(1-$L20)/Conversion_kWh_to_MJ)</f>
        <v>0</v>
      </c>
      <c r="O20" s="12"/>
      <c r="P20" s="12"/>
      <c r="S20" s="300" t="str">
        <f t="shared" ref="S20:S29" si="3">IF(B20="", "", IF(D20="MWh/yr (LHV)", "Use column to right", "Enter data here"))</f>
        <v>Use column to right</v>
      </c>
      <c r="T20" s="300" t="e">
        <f>IF(B20="", "", IF(D20="MWh/yr (LHV)", Initial_questions!$E$43*1/Conversion_kWh_to_MJ, "Use column to left"))</f>
        <v>#VALUE!</v>
      </c>
      <c r="U20" s="300" t="s">
        <v>1062</v>
      </c>
      <c r="V20" s="264" t="str">
        <f t="shared" ref="V20:V29" si="4">IFERROR(IF(D20="tonnes/yr", $S20*$E20/($N$9*3.6), $T20*$E20*3.6/($N$9*3.6)), "Unfilled fields to left")</f>
        <v>Unfilled fields to left</v>
      </c>
      <c r="X20" s="21"/>
      <c r="Y20" s="12"/>
    </row>
    <row r="21" spans="2:29" s="14" customFormat="1">
      <c r="B21" s="186" t="s">
        <v>1021</v>
      </c>
      <c r="C21" s="184" t="s">
        <v>1039</v>
      </c>
      <c r="D21" s="179" t="s">
        <v>479</v>
      </c>
      <c r="E21" s="35"/>
      <c r="F21" s="24"/>
      <c r="G21" s="21"/>
      <c r="H21" s="63"/>
      <c r="I21" s="63"/>
      <c r="J21" s="304"/>
      <c r="K21" s="306"/>
      <c r="L21" s="306"/>
      <c r="M21" s="306"/>
      <c r="N21" s="242">
        <f t="shared" si="2"/>
        <v>0</v>
      </c>
      <c r="O21" s="19"/>
      <c r="P21" s="19"/>
      <c r="Q21" s="19"/>
      <c r="R21" s="19"/>
      <c r="S21" s="300" t="str">
        <f t="shared" si="3"/>
        <v>Use column to right</v>
      </c>
      <c r="T21" s="300" t="str">
        <f t="shared" ref="T21:T29" si="5">IF(B21="", "", IF(D21="MWh/yr (LHV)", "Enter data here", "Use column to left"))</f>
        <v>Enter data here</v>
      </c>
      <c r="U21" s="35" t="s">
        <v>1040</v>
      </c>
      <c r="V21" s="373" t="str">
        <f t="shared" si="4"/>
        <v>Unfilled fields to left</v>
      </c>
      <c r="X21" s="21"/>
    </row>
    <row r="22" spans="2:29" s="14" customFormat="1">
      <c r="B22" s="186" t="s">
        <v>1021</v>
      </c>
      <c r="C22" s="184" t="s">
        <v>1041</v>
      </c>
      <c r="D22" s="179" t="s">
        <v>479</v>
      </c>
      <c r="E22" s="35"/>
      <c r="F22" s="24"/>
      <c r="G22" s="21"/>
      <c r="H22" s="63"/>
      <c r="I22" s="63"/>
      <c r="J22" s="304"/>
      <c r="K22" s="306"/>
      <c r="L22" s="306"/>
      <c r="M22" s="306"/>
      <c r="N22" s="242">
        <f t="shared" si="2"/>
        <v>0</v>
      </c>
      <c r="O22" s="19"/>
      <c r="P22" s="19"/>
      <c r="Q22" s="19"/>
      <c r="R22" s="19"/>
      <c r="S22" s="300" t="str">
        <f t="shared" si="3"/>
        <v>Use column to right</v>
      </c>
      <c r="T22" s="300" t="str">
        <f t="shared" si="5"/>
        <v>Enter data here</v>
      </c>
      <c r="U22" s="35" t="s">
        <v>1040</v>
      </c>
      <c r="V22" s="373" t="str">
        <f t="shared" si="4"/>
        <v>Unfilled fields to left</v>
      </c>
      <c r="X22" s="65"/>
    </row>
    <row r="23" spans="2:29">
      <c r="B23" s="186" t="s">
        <v>1042</v>
      </c>
      <c r="C23" s="184" t="s">
        <v>1043</v>
      </c>
      <c r="D23" s="179" t="s">
        <v>459</v>
      </c>
      <c r="E23" s="35"/>
      <c r="F23" s="82"/>
      <c r="G23" s="21"/>
      <c r="H23" s="20"/>
      <c r="I23" s="36"/>
      <c r="J23" s="300"/>
      <c r="K23" s="302"/>
      <c r="L23" s="302"/>
      <c r="M23" s="302"/>
      <c r="N23" s="242">
        <f t="shared" si="2"/>
        <v>0</v>
      </c>
      <c r="O23" s="12"/>
      <c r="P23" s="12"/>
      <c r="S23" s="300" t="str">
        <f t="shared" si="3"/>
        <v>Enter data here</v>
      </c>
      <c r="T23" s="300" t="str">
        <f t="shared" si="5"/>
        <v>Use column to left</v>
      </c>
      <c r="U23" s="35" t="s">
        <v>1044</v>
      </c>
      <c r="V23" s="373" t="str">
        <f t="shared" si="4"/>
        <v>Unfilled fields to left</v>
      </c>
      <c r="X23" s="25"/>
      <c r="Y23" s="12"/>
    </row>
    <row r="24" spans="2:29">
      <c r="B24" s="186" t="s">
        <v>1042</v>
      </c>
      <c r="C24" s="184" t="s">
        <v>1045</v>
      </c>
      <c r="D24" s="179" t="s">
        <v>459</v>
      </c>
      <c r="E24" s="35"/>
      <c r="F24" s="21"/>
      <c r="G24" s="21"/>
      <c r="H24" s="20"/>
      <c r="I24" s="36"/>
      <c r="J24" s="300"/>
      <c r="K24" s="302"/>
      <c r="L24" s="302"/>
      <c r="M24" s="302"/>
      <c r="N24" s="242">
        <f t="shared" si="2"/>
        <v>0</v>
      </c>
      <c r="O24" s="12"/>
      <c r="P24" s="12"/>
      <c r="S24" s="300" t="str">
        <f t="shared" si="3"/>
        <v>Enter data here</v>
      </c>
      <c r="T24" s="300" t="str">
        <f t="shared" si="5"/>
        <v>Use column to left</v>
      </c>
      <c r="U24" s="35" t="s">
        <v>1044</v>
      </c>
      <c r="V24" s="373" t="str">
        <f t="shared" si="4"/>
        <v>Unfilled fields to left</v>
      </c>
      <c r="X24" s="25"/>
      <c r="Y24" s="12"/>
    </row>
    <row r="25" spans="2:29">
      <c r="B25" s="186" t="s">
        <v>1042</v>
      </c>
      <c r="C25" s="184" t="s">
        <v>1046</v>
      </c>
      <c r="D25" s="179" t="s">
        <v>459</v>
      </c>
      <c r="E25" s="35"/>
      <c r="F25" s="21"/>
      <c r="G25" s="21"/>
      <c r="H25" s="20"/>
      <c r="I25" s="36"/>
      <c r="J25" s="300"/>
      <c r="K25" s="302"/>
      <c r="L25" s="302"/>
      <c r="M25" s="302"/>
      <c r="N25" s="242">
        <f t="shared" si="2"/>
        <v>0</v>
      </c>
      <c r="O25" s="19"/>
      <c r="P25" s="19"/>
      <c r="Q25" s="19"/>
      <c r="R25" s="19"/>
      <c r="S25" s="300" t="str">
        <f t="shared" si="3"/>
        <v>Enter data here</v>
      </c>
      <c r="T25" s="300" t="str">
        <f t="shared" si="5"/>
        <v>Use column to left</v>
      </c>
      <c r="U25" s="35" t="s">
        <v>1044</v>
      </c>
      <c r="V25" s="373" t="str">
        <f t="shared" si="4"/>
        <v>Unfilled fields to left</v>
      </c>
      <c r="W25" s="19"/>
      <c r="X25" s="25"/>
      <c r="Y25" s="19"/>
      <c r="Z25" s="19"/>
      <c r="AA25" s="19"/>
      <c r="AB25" s="19"/>
      <c r="AC25" s="19"/>
    </row>
    <row r="26" spans="2:29">
      <c r="B26" s="16"/>
      <c r="C26" s="15"/>
      <c r="D26" s="179"/>
      <c r="E26" s="35"/>
      <c r="F26" s="21"/>
      <c r="G26" s="21"/>
      <c r="H26" s="20"/>
      <c r="I26" s="36"/>
      <c r="J26" s="300"/>
      <c r="K26" s="302"/>
      <c r="L26" s="302"/>
      <c r="M26" s="302"/>
      <c r="N26" s="242">
        <f t="shared" si="2"/>
        <v>0</v>
      </c>
      <c r="O26" s="19"/>
      <c r="P26" s="19"/>
      <c r="Q26" s="19"/>
      <c r="R26" s="19"/>
      <c r="S26" s="300" t="str">
        <f t="shared" si="3"/>
        <v/>
      </c>
      <c r="T26" s="300" t="str">
        <f t="shared" si="5"/>
        <v/>
      </c>
      <c r="U26" s="302"/>
      <c r="V26" s="373" t="str">
        <f t="shared" si="4"/>
        <v>Unfilled fields to left</v>
      </c>
      <c r="W26" s="19"/>
      <c r="X26" s="25"/>
      <c r="Y26" s="19"/>
      <c r="Z26" s="19"/>
      <c r="AA26" s="19"/>
      <c r="AB26" s="19"/>
      <c r="AC26" s="19"/>
    </row>
    <row r="27" spans="2:29">
      <c r="B27" s="16"/>
      <c r="C27" s="15"/>
      <c r="D27" s="179"/>
      <c r="E27" s="35"/>
      <c r="F27" s="21"/>
      <c r="G27" s="21"/>
      <c r="H27" s="20"/>
      <c r="I27" s="36"/>
      <c r="J27" s="300"/>
      <c r="K27" s="302"/>
      <c r="L27" s="302"/>
      <c r="M27" s="302"/>
      <c r="N27" s="242">
        <f t="shared" si="2"/>
        <v>0</v>
      </c>
      <c r="O27" s="19"/>
      <c r="P27" s="19"/>
      <c r="Q27" s="19"/>
      <c r="R27" s="19"/>
      <c r="S27" s="300" t="str">
        <f t="shared" si="3"/>
        <v/>
      </c>
      <c r="T27" s="300" t="str">
        <f t="shared" si="5"/>
        <v/>
      </c>
      <c r="U27" s="302"/>
      <c r="V27" s="373" t="str">
        <f t="shared" si="4"/>
        <v>Unfilled fields to left</v>
      </c>
      <c r="W27" s="19"/>
      <c r="X27" s="25"/>
      <c r="Y27" s="19"/>
      <c r="Z27" s="19"/>
      <c r="AA27" s="19"/>
      <c r="AB27" s="19"/>
      <c r="AC27" s="19"/>
    </row>
    <row r="28" spans="2:29">
      <c r="B28" s="16"/>
      <c r="C28" s="15"/>
      <c r="D28" s="179"/>
      <c r="E28" s="35"/>
      <c r="F28" s="21"/>
      <c r="G28" s="21"/>
      <c r="H28" s="20"/>
      <c r="I28" s="36"/>
      <c r="J28" s="300"/>
      <c r="K28" s="302"/>
      <c r="L28" s="302"/>
      <c r="M28" s="302"/>
      <c r="N28" s="242">
        <f t="shared" si="2"/>
        <v>0</v>
      </c>
      <c r="O28" s="19"/>
      <c r="P28" s="19"/>
      <c r="Q28" s="19"/>
      <c r="R28" s="19"/>
      <c r="S28" s="300" t="str">
        <f t="shared" si="3"/>
        <v/>
      </c>
      <c r="T28" s="300" t="str">
        <f t="shared" si="5"/>
        <v/>
      </c>
      <c r="U28" s="302"/>
      <c r="V28" s="373" t="str">
        <f t="shared" si="4"/>
        <v>Unfilled fields to left</v>
      </c>
      <c r="W28" s="19"/>
      <c r="X28" s="25"/>
      <c r="Y28" s="19"/>
      <c r="Z28" s="19"/>
      <c r="AA28" s="19"/>
      <c r="AB28" s="19"/>
      <c r="AC28" s="19"/>
    </row>
    <row r="29" spans="2:29">
      <c r="B29" s="16"/>
      <c r="C29" s="15"/>
      <c r="D29" s="179"/>
      <c r="E29" s="35"/>
      <c r="F29" s="21"/>
      <c r="G29" s="21"/>
      <c r="H29" s="20"/>
      <c r="I29" s="36"/>
      <c r="J29" s="300"/>
      <c r="K29" s="302"/>
      <c r="L29" s="302"/>
      <c r="M29" s="302"/>
      <c r="N29" s="242">
        <f t="shared" si="2"/>
        <v>0</v>
      </c>
      <c r="O29" s="19"/>
      <c r="P29" s="19"/>
      <c r="Q29" s="19"/>
      <c r="R29" s="19"/>
      <c r="S29" s="300" t="str">
        <f t="shared" si="3"/>
        <v/>
      </c>
      <c r="T29" s="300" t="str">
        <f t="shared" si="5"/>
        <v/>
      </c>
      <c r="U29" s="302"/>
      <c r="V29" s="373" t="str">
        <f t="shared" si="4"/>
        <v>Unfilled fields to left</v>
      </c>
      <c r="W29" s="19"/>
      <c r="X29" s="25"/>
      <c r="Y29" s="19"/>
      <c r="Z29" s="19"/>
      <c r="AA29" s="19"/>
      <c r="AB29" s="19"/>
      <c r="AC29" s="19"/>
    </row>
    <row r="30" spans="2:29">
      <c r="B30" s="68"/>
      <c r="C30" s="69"/>
      <c r="D30" s="69"/>
      <c r="E30" s="504"/>
      <c r="F30" s="70"/>
      <c r="G30" s="70"/>
      <c r="H30" s="71"/>
      <c r="I30" s="72"/>
      <c r="J30" s="75"/>
      <c r="K30" s="73"/>
      <c r="L30" s="73"/>
      <c r="M30" s="73"/>
      <c r="N30" s="73"/>
      <c r="O30" s="12"/>
      <c r="P30" s="12"/>
      <c r="S30" s="75"/>
      <c r="T30" s="73"/>
      <c r="U30" s="73"/>
      <c r="V30" s="142"/>
      <c r="X30" s="74"/>
      <c r="Y30" s="12"/>
    </row>
    <row r="31" spans="2:29" ht="16.5">
      <c r="B31" s="145" t="s">
        <v>1127</v>
      </c>
      <c r="C31" s="154"/>
      <c r="D31" s="154"/>
      <c r="E31" s="505"/>
      <c r="F31" s="155"/>
      <c r="G31" s="155"/>
      <c r="H31" s="156"/>
      <c r="I31" s="157"/>
      <c r="J31" s="305"/>
      <c r="K31" s="476"/>
      <c r="L31" s="476"/>
      <c r="M31" s="476"/>
      <c r="N31" s="476"/>
      <c r="O31" s="158"/>
      <c r="P31" s="158"/>
      <c r="Q31" s="158"/>
      <c r="R31" s="158"/>
      <c r="S31" s="492"/>
      <c r="T31" s="492"/>
      <c r="U31" s="476"/>
      <c r="V31" s="171">
        <f>SUM(V32:V41)</f>
        <v>0</v>
      </c>
      <c r="X31" s="74"/>
      <c r="Y31" s="12"/>
    </row>
    <row r="32" spans="2:29">
      <c r="B32" s="186" t="s">
        <v>1048</v>
      </c>
      <c r="C32" s="184" t="s">
        <v>1128</v>
      </c>
      <c r="D32" s="179" t="s">
        <v>459</v>
      </c>
      <c r="E32" s="35"/>
      <c r="F32" s="21"/>
      <c r="G32" s="21"/>
      <c r="H32" s="21"/>
      <c r="I32" s="21"/>
      <c r="J32" s="306"/>
      <c r="K32" s="306"/>
      <c r="L32" s="306"/>
      <c r="M32" s="306"/>
      <c r="N32" s="242">
        <f t="shared" ref="N32:N41" si="6">IF($D32="MWh/yr (LHV)",$E32,$J32*$E32*(1-$L32)/Conversion_kWh_to_MJ)</f>
        <v>0</v>
      </c>
      <c r="O32" s="12"/>
      <c r="P32" s="12"/>
      <c r="S32" s="300" t="str">
        <f t="shared" ref="S32:S41" si="7">IF(B32="", "", IF(D32="MWh/yr (LHV)", "Use column to right", "Enter data here"))</f>
        <v>Enter data here</v>
      </c>
      <c r="T32" s="300" t="str">
        <f t="shared" ref="T32:T41" si="8">IF(B32="", "", IF(D32="MWh/yr (LHV)", "Enter data here", "Use column to left"))</f>
        <v>Use column to left</v>
      </c>
      <c r="U32" s="35" t="s">
        <v>1050</v>
      </c>
      <c r="V32" s="263" t="str">
        <f t="shared" ref="V32:V41" si="9">IFERROR(IF(D32="tonnes/yr", $S32*$E32/($N$9*3.6), $T32*$E32*3.6/($N$9*3.6)), "Unfilled fields to left")</f>
        <v>Unfilled fields to left</v>
      </c>
      <c r="X32" s="21"/>
      <c r="Y32" s="12"/>
    </row>
    <row r="33" spans="2:25">
      <c r="B33" s="186" t="s">
        <v>1051</v>
      </c>
      <c r="C33" s="184" t="s">
        <v>1300</v>
      </c>
      <c r="D33" s="179" t="s">
        <v>459</v>
      </c>
      <c r="E33" s="35"/>
      <c r="F33" s="24"/>
      <c r="G33" s="21"/>
      <c r="H33" s="20"/>
      <c r="I33" s="36"/>
      <c r="J33" s="300"/>
      <c r="K33" s="302"/>
      <c r="L33" s="302"/>
      <c r="M33" s="302"/>
      <c r="N33" s="242">
        <f t="shared" si="6"/>
        <v>0</v>
      </c>
      <c r="O33" s="12"/>
      <c r="P33" s="12"/>
      <c r="S33" s="300" t="str">
        <f t="shared" si="7"/>
        <v>Enter data here</v>
      </c>
      <c r="T33" s="300" t="str">
        <f t="shared" si="8"/>
        <v>Use column to left</v>
      </c>
      <c r="U33" s="35" t="s">
        <v>1050</v>
      </c>
      <c r="V33" s="263" t="str">
        <f t="shared" si="9"/>
        <v>Unfilled fields to left</v>
      </c>
      <c r="X33" s="25"/>
      <c r="Y33" s="12"/>
    </row>
    <row r="34" spans="2:25">
      <c r="B34" s="186" t="s">
        <v>1051</v>
      </c>
      <c r="C34" s="184" t="s">
        <v>1010</v>
      </c>
      <c r="D34" s="179" t="s">
        <v>459</v>
      </c>
      <c r="E34" s="35"/>
      <c r="F34" s="21"/>
      <c r="G34" s="21"/>
      <c r="H34" s="20"/>
      <c r="I34" s="36"/>
      <c r="J34" s="300"/>
      <c r="K34" s="302"/>
      <c r="L34" s="302"/>
      <c r="M34" s="302"/>
      <c r="N34" s="242">
        <f t="shared" si="6"/>
        <v>0</v>
      </c>
      <c r="O34" s="12"/>
      <c r="P34" s="12"/>
      <c r="S34" s="300" t="str">
        <f t="shared" si="7"/>
        <v>Enter data here</v>
      </c>
      <c r="T34" s="300" t="str">
        <f t="shared" si="8"/>
        <v>Use column to left</v>
      </c>
      <c r="U34" s="35" t="s">
        <v>1050</v>
      </c>
      <c r="V34" s="263" t="str">
        <f t="shared" si="9"/>
        <v>Unfilled fields to left</v>
      </c>
      <c r="X34" s="25"/>
      <c r="Y34" s="12"/>
    </row>
    <row r="35" spans="2:25">
      <c r="B35" s="186" t="s">
        <v>1051</v>
      </c>
      <c r="C35" s="184" t="s">
        <v>1053</v>
      </c>
      <c r="D35" s="179" t="s">
        <v>459</v>
      </c>
      <c r="E35" s="35"/>
      <c r="F35" s="21"/>
      <c r="G35" s="21"/>
      <c r="H35" s="20"/>
      <c r="I35" s="36"/>
      <c r="J35" s="300"/>
      <c r="K35" s="302"/>
      <c r="L35" s="302"/>
      <c r="M35" s="302"/>
      <c r="N35" s="242">
        <f t="shared" si="6"/>
        <v>0</v>
      </c>
      <c r="O35" s="12"/>
      <c r="P35" s="12"/>
      <c r="S35" s="300" t="str">
        <f t="shared" si="7"/>
        <v>Enter data here</v>
      </c>
      <c r="T35" s="300" t="str">
        <f t="shared" si="8"/>
        <v>Use column to left</v>
      </c>
      <c r="U35" s="35" t="s">
        <v>1050</v>
      </c>
      <c r="V35" s="263" t="str">
        <f t="shared" si="9"/>
        <v>Unfilled fields to left</v>
      </c>
      <c r="X35" s="25"/>
      <c r="Y35" s="12"/>
    </row>
    <row r="36" spans="2:25">
      <c r="B36" s="186" t="s">
        <v>1177</v>
      </c>
      <c r="C36" s="184" t="s">
        <v>1055</v>
      </c>
      <c r="D36" s="179" t="s">
        <v>459</v>
      </c>
      <c r="E36" s="35"/>
      <c r="F36" s="21"/>
      <c r="G36" s="21"/>
      <c r="H36" s="20"/>
      <c r="I36" s="36"/>
      <c r="J36" s="300"/>
      <c r="K36" s="302"/>
      <c r="L36" s="302"/>
      <c r="M36" s="302"/>
      <c r="N36" s="242">
        <f t="shared" si="6"/>
        <v>0</v>
      </c>
      <c r="O36" s="12"/>
      <c r="P36" s="12"/>
      <c r="S36" s="300" t="str">
        <f t="shared" si="7"/>
        <v>Enter data here</v>
      </c>
      <c r="T36" s="300" t="str">
        <f t="shared" si="8"/>
        <v>Use column to left</v>
      </c>
      <c r="U36" s="35" t="s">
        <v>1050</v>
      </c>
      <c r="V36" s="263" t="str">
        <f t="shared" si="9"/>
        <v>Unfilled fields to left</v>
      </c>
      <c r="X36" s="25"/>
      <c r="Y36" s="12"/>
    </row>
    <row r="37" spans="2:25">
      <c r="B37" s="186" t="s">
        <v>1177</v>
      </c>
      <c r="C37" s="184"/>
      <c r="D37" s="179"/>
      <c r="E37" s="35"/>
      <c r="F37" s="21"/>
      <c r="G37" s="21"/>
      <c r="H37" s="20"/>
      <c r="I37" s="36"/>
      <c r="J37" s="300"/>
      <c r="K37" s="302"/>
      <c r="L37" s="302"/>
      <c r="M37" s="302"/>
      <c r="N37" s="242">
        <f t="shared" si="6"/>
        <v>0</v>
      </c>
      <c r="O37" s="12"/>
      <c r="P37" s="12"/>
      <c r="S37" s="300" t="str">
        <f t="shared" si="7"/>
        <v>Enter data here</v>
      </c>
      <c r="T37" s="300" t="str">
        <f t="shared" si="8"/>
        <v>Use column to left</v>
      </c>
      <c r="U37" s="35" t="s">
        <v>1050</v>
      </c>
      <c r="V37" s="263" t="str">
        <f t="shared" si="9"/>
        <v>Unfilled fields to left</v>
      </c>
      <c r="X37" s="25"/>
      <c r="Y37" s="12"/>
    </row>
    <row r="38" spans="2:25">
      <c r="B38" s="16"/>
      <c r="C38" s="15"/>
      <c r="D38" s="179"/>
      <c r="E38" s="35"/>
      <c r="F38" s="54"/>
      <c r="G38" s="21"/>
      <c r="H38" s="20"/>
      <c r="I38" s="36"/>
      <c r="J38" s="300"/>
      <c r="K38" s="302"/>
      <c r="L38" s="302"/>
      <c r="M38" s="302"/>
      <c r="N38" s="242">
        <f t="shared" si="6"/>
        <v>0</v>
      </c>
      <c r="O38" s="12"/>
      <c r="P38" s="12"/>
      <c r="S38" s="300" t="str">
        <f t="shared" si="7"/>
        <v/>
      </c>
      <c r="T38" s="300" t="str">
        <f t="shared" si="8"/>
        <v/>
      </c>
      <c r="U38" s="302"/>
      <c r="V38" s="263" t="str">
        <f t="shared" si="9"/>
        <v>Unfilled fields to left</v>
      </c>
      <c r="X38" s="25"/>
      <c r="Y38" s="12"/>
    </row>
    <row r="39" spans="2:25">
      <c r="B39" s="16"/>
      <c r="C39" s="15"/>
      <c r="D39" s="179"/>
      <c r="E39" s="35"/>
      <c r="F39" s="54"/>
      <c r="G39" s="21"/>
      <c r="H39" s="20"/>
      <c r="I39" s="36"/>
      <c r="J39" s="300"/>
      <c r="K39" s="302"/>
      <c r="L39" s="302"/>
      <c r="M39" s="302"/>
      <c r="N39" s="242">
        <f t="shared" si="6"/>
        <v>0</v>
      </c>
      <c r="O39" s="12"/>
      <c r="P39" s="12"/>
      <c r="S39" s="300" t="str">
        <f t="shared" si="7"/>
        <v/>
      </c>
      <c r="T39" s="300" t="str">
        <f t="shared" si="8"/>
        <v/>
      </c>
      <c r="U39" s="302"/>
      <c r="V39" s="263" t="str">
        <f t="shared" si="9"/>
        <v>Unfilled fields to left</v>
      </c>
      <c r="X39" s="25"/>
      <c r="Y39" s="12"/>
    </row>
    <row r="40" spans="2:25">
      <c r="B40" s="16"/>
      <c r="C40" s="15"/>
      <c r="D40" s="179"/>
      <c r="E40" s="35"/>
      <c r="F40" s="54"/>
      <c r="G40" s="21"/>
      <c r="H40" s="20"/>
      <c r="I40" s="36"/>
      <c r="J40" s="300"/>
      <c r="K40" s="302"/>
      <c r="L40" s="302"/>
      <c r="M40" s="302"/>
      <c r="N40" s="242">
        <f t="shared" si="6"/>
        <v>0</v>
      </c>
      <c r="O40" s="12"/>
      <c r="P40" s="12"/>
      <c r="S40" s="300" t="str">
        <f t="shared" si="7"/>
        <v/>
      </c>
      <c r="T40" s="300" t="str">
        <f t="shared" si="8"/>
        <v/>
      </c>
      <c r="U40" s="302"/>
      <c r="V40" s="263" t="str">
        <f t="shared" si="9"/>
        <v>Unfilled fields to left</v>
      </c>
      <c r="X40" s="25"/>
      <c r="Y40" s="12"/>
    </row>
    <row r="41" spans="2:25">
      <c r="B41" s="16"/>
      <c r="C41" s="15"/>
      <c r="D41" s="179"/>
      <c r="E41" s="35"/>
      <c r="F41" s="21"/>
      <c r="G41" s="21"/>
      <c r="H41" s="20"/>
      <c r="I41" s="36"/>
      <c r="J41" s="300"/>
      <c r="K41" s="302"/>
      <c r="L41" s="302"/>
      <c r="M41" s="302"/>
      <c r="N41" s="242">
        <f t="shared" si="6"/>
        <v>0</v>
      </c>
      <c r="O41" s="12"/>
      <c r="P41" s="12"/>
      <c r="S41" s="300" t="str">
        <f t="shared" si="7"/>
        <v/>
      </c>
      <c r="T41" s="300" t="str">
        <f t="shared" si="8"/>
        <v/>
      </c>
      <c r="U41" s="302"/>
      <c r="V41" s="263" t="str">
        <f t="shared" si="9"/>
        <v>Unfilled fields to left</v>
      </c>
      <c r="X41" s="25"/>
      <c r="Y41" s="12"/>
    </row>
    <row r="42" spans="2:25">
      <c r="B42" s="14"/>
      <c r="C42" s="83"/>
      <c r="D42" s="83"/>
      <c r="E42" s="498"/>
      <c r="F42" s="84"/>
      <c r="G42" s="85"/>
      <c r="H42" s="86"/>
      <c r="I42" s="86"/>
      <c r="J42" s="87"/>
      <c r="K42" s="87"/>
      <c r="L42" s="87"/>
      <c r="M42" s="87"/>
      <c r="N42" s="87"/>
      <c r="O42" s="28"/>
      <c r="P42" s="28"/>
      <c r="Q42" s="14"/>
      <c r="R42" s="14"/>
      <c r="S42" s="87"/>
      <c r="T42" s="87"/>
      <c r="U42" s="87"/>
      <c r="V42" s="143"/>
      <c r="X42" s="27"/>
      <c r="Y42" s="12"/>
    </row>
    <row r="43" spans="2:25" s="14" customFormat="1">
      <c r="B43" s="145" t="s">
        <v>1301</v>
      </c>
      <c r="C43" s="159"/>
      <c r="D43" s="159"/>
      <c r="E43" s="499"/>
      <c r="F43" s="160"/>
      <c r="G43" s="161"/>
      <c r="H43" s="160"/>
      <c r="I43" s="160"/>
      <c r="J43" s="307"/>
      <c r="K43" s="307"/>
      <c r="L43" s="307"/>
      <c r="M43" s="307"/>
      <c r="N43" s="307"/>
      <c r="O43" s="162"/>
      <c r="P43" s="162"/>
      <c r="Q43" s="163"/>
      <c r="R43" s="152"/>
      <c r="S43" s="307"/>
      <c r="T43" s="307"/>
      <c r="U43" s="307"/>
      <c r="V43" s="171">
        <f>SUM(V44:V47)</f>
        <v>0</v>
      </c>
      <c r="X43" s="70"/>
    </row>
    <row r="44" spans="2:25" s="14" customFormat="1">
      <c r="B44" s="186" t="s">
        <v>1057</v>
      </c>
      <c r="C44" s="184" t="s">
        <v>1302</v>
      </c>
      <c r="D44" s="179" t="s">
        <v>459</v>
      </c>
      <c r="E44" s="35"/>
      <c r="F44" s="24"/>
      <c r="G44" s="21"/>
      <c r="H44" s="21"/>
      <c r="I44" s="21"/>
      <c r="J44" s="306"/>
      <c r="K44" s="306"/>
      <c r="L44" s="306"/>
      <c r="M44" s="306"/>
      <c r="N44" s="44">
        <f t="shared" ref="N44:N47" si="10">IF($D44="MWh/yr (LHV)",$E44,$J44*$E44*(1-$L44)/Conversion_kWh_to_MJ)</f>
        <v>0</v>
      </c>
      <c r="O44" s="12"/>
      <c r="P44" s="12"/>
      <c r="Q44" s="12"/>
      <c r="R44" s="12"/>
      <c r="S44" s="300">
        <v>0</v>
      </c>
      <c r="T44" s="477"/>
      <c r="U44" s="35" t="s">
        <v>1200</v>
      </c>
      <c r="V44" s="263" t="str">
        <f t="shared" ref="V44:V47" si="11">IFERROR(IF(D44="tonnes/yr", $S44*$E44/($N$9*3.6), $T44*$E44*3.6/($N$9*3.6)), "Unfilled fields to left")</f>
        <v>Unfilled fields to left</v>
      </c>
      <c r="X44" s="21"/>
    </row>
    <row r="45" spans="2:25" s="14" customFormat="1">
      <c r="B45" s="186" t="s">
        <v>1057</v>
      </c>
      <c r="C45" s="184" t="s">
        <v>1303</v>
      </c>
      <c r="D45" s="179" t="s">
        <v>459</v>
      </c>
      <c r="E45" s="35"/>
      <c r="F45" s="63"/>
      <c r="G45" s="63"/>
      <c r="H45" s="63"/>
      <c r="I45" s="63"/>
      <c r="J45" s="304"/>
      <c r="K45" s="306"/>
      <c r="L45" s="306"/>
      <c r="M45" s="306"/>
      <c r="N45" s="44">
        <f t="shared" si="10"/>
        <v>0</v>
      </c>
      <c r="O45" s="12"/>
      <c r="P45" s="12"/>
      <c r="Q45" s="12"/>
      <c r="R45" s="12"/>
      <c r="S45" s="35">
        <v>1000</v>
      </c>
      <c r="T45" s="518"/>
      <c r="U45" s="35" t="s">
        <v>1110</v>
      </c>
      <c r="V45" s="263" t="str">
        <f t="shared" si="11"/>
        <v>Unfilled fields to left</v>
      </c>
      <c r="X45" s="21"/>
    </row>
    <row r="46" spans="2:25" s="14" customFormat="1">
      <c r="B46" s="186" t="s">
        <v>1057</v>
      </c>
      <c r="C46" s="184" t="s">
        <v>1274</v>
      </c>
      <c r="D46" s="179" t="s">
        <v>459</v>
      </c>
      <c r="E46" s="35"/>
      <c r="F46" s="21"/>
      <c r="G46" s="21"/>
      <c r="H46" s="63"/>
      <c r="I46" s="63"/>
      <c r="J46" s="304"/>
      <c r="K46" s="306"/>
      <c r="L46" s="306"/>
      <c r="M46" s="306"/>
      <c r="N46" s="44">
        <f t="shared" si="10"/>
        <v>0</v>
      </c>
      <c r="O46" s="19"/>
      <c r="P46" s="19"/>
      <c r="Q46" s="19"/>
      <c r="R46" s="19"/>
      <c r="S46" s="483">
        <v>0</v>
      </c>
      <c r="T46" s="518"/>
      <c r="U46" s="35" t="s">
        <v>1200</v>
      </c>
      <c r="V46" s="263" t="str">
        <f t="shared" si="11"/>
        <v>Unfilled fields to left</v>
      </c>
      <c r="X46" s="65"/>
    </row>
    <row r="47" spans="2:25" s="14" customFormat="1">
      <c r="B47" s="186" t="s">
        <v>1057</v>
      </c>
      <c r="C47" s="184" t="s">
        <v>1211</v>
      </c>
      <c r="D47" s="179" t="s">
        <v>459</v>
      </c>
      <c r="E47" s="35"/>
      <c r="F47" s="21"/>
      <c r="G47" s="21"/>
      <c r="H47" s="21"/>
      <c r="I47" s="21"/>
      <c r="J47" s="306"/>
      <c r="K47" s="306"/>
      <c r="L47" s="306"/>
      <c r="M47" s="306"/>
      <c r="N47" s="44">
        <f t="shared" si="10"/>
        <v>0</v>
      </c>
      <c r="O47" s="19"/>
      <c r="P47" s="19"/>
      <c r="Q47" s="19"/>
      <c r="R47" s="19"/>
      <c r="S47" s="483">
        <v>1000</v>
      </c>
      <c r="T47" s="518"/>
      <c r="U47" s="35" t="s">
        <v>1110</v>
      </c>
      <c r="V47" s="263" t="str">
        <f t="shared" si="11"/>
        <v>Unfilled fields to left</v>
      </c>
      <c r="X47" s="65"/>
    </row>
    <row r="48" spans="2:25" s="14" customFormat="1">
      <c r="B48" s="68"/>
      <c r="C48" s="69"/>
      <c r="D48" s="69"/>
      <c r="E48" s="504"/>
      <c r="F48" s="70"/>
      <c r="G48" s="70"/>
      <c r="H48" s="70"/>
      <c r="I48" s="70"/>
      <c r="J48" s="142"/>
      <c r="K48" s="142"/>
      <c r="L48" s="142"/>
      <c r="M48" s="142"/>
      <c r="N48" s="73"/>
      <c r="O48" s="19"/>
      <c r="P48" s="19"/>
      <c r="Q48" s="19"/>
      <c r="R48" s="19"/>
      <c r="S48" s="73"/>
      <c r="T48" s="73"/>
      <c r="U48" s="73"/>
      <c r="V48" s="142"/>
      <c r="X48" s="70"/>
    </row>
    <row r="49" spans="2:25" s="14" customFormat="1" ht="16.5">
      <c r="B49" s="145" t="s">
        <v>1060</v>
      </c>
      <c r="C49" s="159"/>
      <c r="D49" s="159"/>
      <c r="E49" s="499"/>
      <c r="F49" s="160"/>
      <c r="G49" s="161"/>
      <c r="H49" s="160"/>
      <c r="I49" s="160"/>
      <c r="J49" s="307"/>
      <c r="K49" s="307"/>
      <c r="L49" s="307"/>
      <c r="M49" s="307"/>
      <c r="N49" s="307"/>
      <c r="O49" s="162"/>
      <c r="P49" s="162"/>
      <c r="Q49" s="163"/>
      <c r="R49" s="152"/>
      <c r="S49" s="307"/>
      <c r="T49" s="307"/>
      <c r="U49" s="307"/>
      <c r="V49" s="171">
        <f>SUM(V50:V55)</f>
        <v>0</v>
      </c>
      <c r="X49" s="70"/>
    </row>
    <row r="50" spans="2:25">
      <c r="B50" s="186" t="s">
        <v>1021</v>
      </c>
      <c r="C50" s="184" t="s">
        <v>1063</v>
      </c>
      <c r="D50" s="179" t="s">
        <v>479</v>
      </c>
      <c r="E50" s="35"/>
      <c r="F50" s="24"/>
      <c r="G50" s="21"/>
      <c r="H50" s="20"/>
      <c r="I50" s="36"/>
      <c r="J50" s="303"/>
      <c r="K50" s="302"/>
      <c r="L50" s="302"/>
      <c r="M50" s="302"/>
      <c r="N50" s="44">
        <f t="shared" ref="N50:N55" si="12">IF($D50="MWh/yr (LHV)",$E50,$J50*$E50*(1-$L50)/Conversion_kWh_to_MJ)</f>
        <v>0</v>
      </c>
      <c r="O50" s="12"/>
      <c r="P50" s="12"/>
      <c r="S50" s="300" t="str">
        <f t="shared" ref="S50:S55" si="13">IF(B50="", "", IF(D50="MWh/yr (LHV)", "Use column to right", "Enter data here"))</f>
        <v>Use column to right</v>
      </c>
      <c r="T50" s="300" t="e">
        <f>IF(B50="", "", IF(D50="MWh/yr (LHV)", Initial_questions!$E$43*1/Conversion_kWh_to_MJ, "Use column to left"))</f>
        <v>#VALUE!</v>
      </c>
      <c r="U50" s="300" t="s">
        <v>1062</v>
      </c>
      <c r="V50" s="264" t="str">
        <f t="shared" ref="V50:V55" si="14">IFERROR(IF(D50="tonnes/yr", $S50*$E50/($N$9*3.6), $T50*$E50*3.6/($N$9*3.6)), "Unfilled fields to left")</f>
        <v>Unfilled fields to left</v>
      </c>
      <c r="X50" s="25"/>
      <c r="Y50" s="12"/>
    </row>
    <row r="51" spans="2:25">
      <c r="B51" s="186" t="s">
        <v>1021</v>
      </c>
      <c r="C51" s="184" t="s">
        <v>1061</v>
      </c>
      <c r="D51" s="179" t="s">
        <v>479</v>
      </c>
      <c r="E51" s="35"/>
      <c r="F51" s="24"/>
      <c r="G51" s="21"/>
      <c r="H51" s="20"/>
      <c r="I51" s="36"/>
      <c r="J51" s="300"/>
      <c r="K51" s="302"/>
      <c r="L51" s="302"/>
      <c r="M51" s="302"/>
      <c r="N51" s="44">
        <f t="shared" si="12"/>
        <v>0</v>
      </c>
      <c r="O51" s="55"/>
      <c r="P51" s="55"/>
      <c r="S51" s="300" t="str">
        <f t="shared" si="13"/>
        <v>Use column to right</v>
      </c>
      <c r="T51" s="35" t="e">
        <f>INDEX(Proj_grid_intensity_kWh,MATCH(Operations_year,Proj_grid_year,0))/Conversion_kWh_to_MJ</f>
        <v>#N/A</v>
      </c>
      <c r="U51" s="35" t="s">
        <v>1064</v>
      </c>
      <c r="V51" s="373" t="str">
        <f t="shared" si="14"/>
        <v>Unfilled fields to left</v>
      </c>
      <c r="X51" s="25"/>
      <c r="Y51" s="12"/>
    </row>
    <row r="52" spans="2:25">
      <c r="B52" s="186" t="s">
        <v>1021</v>
      </c>
      <c r="C52" s="184" t="s">
        <v>1065</v>
      </c>
      <c r="D52" s="179" t="s">
        <v>459</v>
      </c>
      <c r="E52" s="35"/>
      <c r="F52" s="24"/>
      <c r="G52" s="21"/>
      <c r="H52" s="20"/>
      <c r="I52" s="36"/>
      <c r="J52" s="300"/>
      <c r="K52" s="302"/>
      <c r="L52" s="302"/>
      <c r="M52" s="302"/>
      <c r="N52" s="44">
        <f t="shared" si="12"/>
        <v>0</v>
      </c>
      <c r="O52" s="55"/>
      <c r="P52" s="55"/>
      <c r="S52" s="300" t="str">
        <f t="shared" si="13"/>
        <v>Enter data here</v>
      </c>
      <c r="T52" s="35" t="str">
        <f>IF(B52="", "", IF(D52="MWh/yr (LHV)", "Enter data here", "Use column to left"))</f>
        <v>Use column to left</v>
      </c>
      <c r="U52" s="35" t="s">
        <v>1066</v>
      </c>
      <c r="V52" s="373" t="str">
        <f t="shared" si="14"/>
        <v>Unfilled fields to left</v>
      </c>
      <c r="X52" s="25"/>
      <c r="Y52" s="12"/>
    </row>
    <row r="53" spans="2:25" s="14" customFormat="1">
      <c r="B53" s="186" t="s">
        <v>1021</v>
      </c>
      <c r="C53" s="184" t="s">
        <v>1067</v>
      </c>
      <c r="D53" s="179" t="s">
        <v>459</v>
      </c>
      <c r="E53" s="35"/>
      <c r="F53" s="24"/>
      <c r="G53" s="21"/>
      <c r="H53" s="21"/>
      <c r="I53" s="21"/>
      <c r="J53" s="306"/>
      <c r="K53" s="306"/>
      <c r="L53" s="306"/>
      <c r="M53" s="306"/>
      <c r="N53" s="44">
        <f t="shared" si="12"/>
        <v>0</v>
      </c>
      <c r="O53" s="12"/>
      <c r="P53" s="12"/>
      <c r="Q53" s="12"/>
      <c r="R53" s="12"/>
      <c r="S53" s="300" t="str">
        <f t="shared" si="13"/>
        <v>Enter data here</v>
      </c>
      <c r="T53" s="35" t="str">
        <f>IF(B53="", "", IF(D53="MWh/yr (LHV)", "Enter data here", "Use column to left"))</f>
        <v>Use column to left</v>
      </c>
      <c r="U53" s="35" t="s">
        <v>1066</v>
      </c>
      <c r="V53" s="373" t="str">
        <f t="shared" si="14"/>
        <v>Unfilled fields to left</v>
      </c>
      <c r="X53" s="21"/>
    </row>
    <row r="54" spans="2:25" s="14" customFormat="1">
      <c r="B54" s="186" t="s">
        <v>1021</v>
      </c>
      <c r="C54" s="184" t="s">
        <v>1068</v>
      </c>
      <c r="D54" s="179" t="s">
        <v>479</v>
      </c>
      <c r="E54" s="35"/>
      <c r="F54" s="24"/>
      <c r="G54" s="21"/>
      <c r="H54" s="21"/>
      <c r="I54" s="21"/>
      <c r="J54" s="306"/>
      <c r="K54" s="306"/>
      <c r="L54" s="306"/>
      <c r="M54" s="306"/>
      <c r="N54" s="44">
        <f t="shared" si="12"/>
        <v>0</v>
      </c>
      <c r="O54" s="12"/>
      <c r="P54" s="12"/>
      <c r="Q54" s="12"/>
      <c r="R54" s="12"/>
      <c r="S54" s="300" t="str">
        <f t="shared" si="13"/>
        <v>Use column to right</v>
      </c>
      <c r="T54" s="35" t="e">
        <f>INDEX(Proj_grid_intensity_kWh,MATCH(Operations_year,Proj_grid_year,0))/Conversion_kWh_to_MJ</f>
        <v>#N/A</v>
      </c>
      <c r="U54" s="35" t="s">
        <v>1064</v>
      </c>
      <c r="V54" s="373" t="str">
        <f t="shared" si="14"/>
        <v>Unfilled fields to left</v>
      </c>
      <c r="X54" s="21"/>
    </row>
    <row r="55" spans="2:25" s="14" customFormat="1">
      <c r="B55" s="16"/>
      <c r="C55" s="15"/>
      <c r="D55" s="179"/>
      <c r="E55" s="35"/>
      <c r="F55" s="24"/>
      <c r="G55" s="21"/>
      <c r="H55" s="21"/>
      <c r="I55" s="21"/>
      <c r="J55" s="306"/>
      <c r="K55" s="306"/>
      <c r="L55" s="306"/>
      <c r="M55" s="306"/>
      <c r="N55" s="44">
        <f t="shared" si="12"/>
        <v>0</v>
      </c>
      <c r="O55" s="12"/>
      <c r="P55" s="12"/>
      <c r="Q55" s="12"/>
      <c r="R55" s="12"/>
      <c r="S55" s="300" t="str">
        <f t="shared" si="13"/>
        <v/>
      </c>
      <c r="T55" s="302" t="str">
        <f>IF(B55="", "", IF(D55="MWh/yr (LHV)", "Enter data here", "Use column to left"))</f>
        <v/>
      </c>
      <c r="U55" s="302"/>
      <c r="V55" s="373" t="str">
        <f t="shared" si="14"/>
        <v>Unfilled fields to left</v>
      </c>
      <c r="X55" s="21"/>
    </row>
    <row r="56" spans="2:25" s="14" customFormat="1">
      <c r="B56" s="68"/>
      <c r="C56" s="69"/>
      <c r="D56" s="69"/>
      <c r="E56" s="142"/>
      <c r="F56" s="70"/>
      <c r="G56" s="70"/>
      <c r="H56" s="71"/>
      <c r="I56" s="71"/>
      <c r="J56" s="73"/>
      <c r="K56" s="73"/>
      <c r="L56" s="73"/>
      <c r="M56" s="73"/>
      <c r="N56" s="73"/>
      <c r="O56" s="12"/>
      <c r="P56" s="12"/>
      <c r="Q56" s="12"/>
      <c r="R56" s="12"/>
      <c r="S56" s="73"/>
      <c r="T56" s="73"/>
      <c r="U56" s="73"/>
      <c r="V56" s="142"/>
      <c r="X56" s="70"/>
    </row>
    <row r="57" spans="2:25" s="14" customFormat="1">
      <c r="B57" s="145" t="s">
        <v>1140</v>
      </c>
      <c r="C57" s="159"/>
      <c r="D57" s="159"/>
      <c r="E57" s="499"/>
      <c r="F57" s="160"/>
      <c r="G57" s="161"/>
      <c r="H57" s="160"/>
      <c r="I57" s="160"/>
      <c r="J57" s="307"/>
      <c r="K57" s="307"/>
      <c r="L57" s="307"/>
      <c r="M57" s="307"/>
      <c r="N57" s="307"/>
      <c r="O57" s="162"/>
      <c r="P57" s="162"/>
      <c r="Q57" s="163"/>
      <c r="R57" s="152"/>
      <c r="S57" s="307"/>
      <c r="T57" s="307"/>
      <c r="U57" s="307"/>
      <c r="V57" s="171">
        <f>SUM(V58:V65)</f>
        <v>0</v>
      </c>
      <c r="X57" s="70"/>
    </row>
    <row r="58" spans="2:25">
      <c r="B58" s="186" t="s">
        <v>1021</v>
      </c>
      <c r="C58" s="184" t="s">
        <v>1141</v>
      </c>
      <c r="D58" s="179" t="s">
        <v>479</v>
      </c>
      <c r="E58" s="35"/>
      <c r="F58" s="24"/>
      <c r="G58" s="21"/>
      <c r="H58" s="20"/>
      <c r="I58" s="36"/>
      <c r="J58" s="303"/>
      <c r="K58" s="302"/>
      <c r="L58" s="302"/>
      <c r="M58" s="302"/>
      <c r="N58" s="44">
        <f t="shared" ref="N58:N65" si="15">IF($D58="MWh/yr (LHV)",$E58,$J58*$E58*(1-$L58)/Conversion_kWh_to_MJ)</f>
        <v>0</v>
      </c>
      <c r="O58" s="12"/>
      <c r="P58" s="12"/>
      <c r="S58" s="300" t="str">
        <f t="shared" ref="S58:S65" si="16">IF(B58="", "", IF(D58="MWh/yr (LHV)", "Use column to right", "Enter data here"))</f>
        <v>Use column to right</v>
      </c>
      <c r="T58" s="300" t="e">
        <f>IF(B58="", "", IF(D58="MWh/yr (LHV)", Initial_questions!$E$43*1/Conversion_kWh_to_MJ, "Use column to left"))</f>
        <v>#VALUE!</v>
      </c>
      <c r="U58" s="300" t="s">
        <v>1062</v>
      </c>
      <c r="V58" s="264" t="str">
        <f t="shared" ref="V58:V65" si="17">IFERROR(IF(D58="tonnes/yr", $S58*$E58/($N$9*3.6), $T58*$E58*3.6/($N$9*3.6)), "Unfilled fields to left")</f>
        <v>Unfilled fields to left</v>
      </c>
      <c r="X58" s="25"/>
      <c r="Y58" s="12"/>
    </row>
    <row r="59" spans="2:25">
      <c r="B59" s="186" t="s">
        <v>1021</v>
      </c>
      <c r="C59" s="184" t="s">
        <v>1142</v>
      </c>
      <c r="D59" s="179" t="s">
        <v>479</v>
      </c>
      <c r="E59" s="35"/>
      <c r="F59" s="24"/>
      <c r="G59" s="21"/>
      <c r="H59" s="20"/>
      <c r="I59" s="36"/>
      <c r="J59" s="300"/>
      <c r="K59" s="302"/>
      <c r="L59" s="302"/>
      <c r="M59" s="302"/>
      <c r="N59" s="44">
        <f t="shared" si="15"/>
        <v>0</v>
      </c>
      <c r="O59" s="55"/>
      <c r="P59" s="55"/>
      <c r="S59" s="300" t="str">
        <f t="shared" si="16"/>
        <v>Use column to right</v>
      </c>
      <c r="T59" s="35" t="e">
        <f>INDEX(Proj_grid_intensity_kWh,MATCH(Operations_year,Proj_grid_year,0))/Conversion_kWh_to_MJ</f>
        <v>#N/A</v>
      </c>
      <c r="U59" s="35" t="s">
        <v>1064</v>
      </c>
      <c r="V59" s="373" t="str">
        <f t="shared" si="17"/>
        <v>Unfilled fields to left</v>
      </c>
      <c r="X59" s="25"/>
      <c r="Y59" s="12"/>
    </row>
    <row r="60" spans="2:25">
      <c r="B60" s="186" t="s">
        <v>1021</v>
      </c>
      <c r="C60" s="184" t="s">
        <v>1143</v>
      </c>
      <c r="D60" s="179" t="s">
        <v>459</v>
      </c>
      <c r="E60" s="35"/>
      <c r="F60" s="24"/>
      <c r="G60" s="21"/>
      <c r="H60" s="20"/>
      <c r="I60" s="36"/>
      <c r="J60" s="300"/>
      <c r="K60" s="302"/>
      <c r="L60" s="302"/>
      <c r="M60" s="302"/>
      <c r="N60" s="44">
        <f t="shared" si="15"/>
        <v>0</v>
      </c>
      <c r="O60" s="55"/>
      <c r="P60" s="55"/>
      <c r="S60" s="300" t="str">
        <f t="shared" si="16"/>
        <v>Enter data here</v>
      </c>
      <c r="T60" s="35" t="str">
        <f>IF(B60="", "", IF(D60="MWh/yr (LHV)", "Enter data here", "Use column to left"))</f>
        <v>Use column to left</v>
      </c>
      <c r="U60" s="35" t="s">
        <v>1066</v>
      </c>
      <c r="V60" s="373" t="str">
        <f t="shared" si="17"/>
        <v>Unfilled fields to left</v>
      </c>
      <c r="X60" s="25"/>
      <c r="Y60" s="12"/>
    </row>
    <row r="61" spans="2:25">
      <c r="B61" s="186" t="s">
        <v>1021</v>
      </c>
      <c r="C61" s="184" t="s">
        <v>1144</v>
      </c>
      <c r="D61" s="179" t="s">
        <v>459</v>
      </c>
      <c r="E61" s="35"/>
      <c r="F61" s="24"/>
      <c r="G61" s="21"/>
      <c r="H61" s="20"/>
      <c r="I61" s="36"/>
      <c r="J61" s="300"/>
      <c r="K61" s="302"/>
      <c r="L61" s="302"/>
      <c r="M61" s="302"/>
      <c r="N61" s="44">
        <f t="shared" si="15"/>
        <v>0</v>
      </c>
      <c r="O61" s="55"/>
      <c r="P61" s="55"/>
      <c r="S61" s="300" t="str">
        <f t="shared" si="16"/>
        <v>Enter data here</v>
      </c>
      <c r="T61" s="35" t="str">
        <f t="shared" ref="T61:T64" si="18">IF(B61="", "", IF(D61="MWh/yr (LHV)", "Enter data here", "Use column to left"))</f>
        <v>Use column to left</v>
      </c>
      <c r="U61" s="35" t="s">
        <v>1066</v>
      </c>
      <c r="V61" s="373" t="str">
        <f t="shared" si="17"/>
        <v>Unfilled fields to left</v>
      </c>
      <c r="X61" s="25"/>
      <c r="Y61" s="12"/>
    </row>
    <row r="62" spans="2:25">
      <c r="B62" s="186" t="s">
        <v>1021</v>
      </c>
      <c r="C62" s="184" t="s">
        <v>1145</v>
      </c>
      <c r="D62" s="179" t="s">
        <v>479</v>
      </c>
      <c r="E62" s="35"/>
      <c r="F62" s="24"/>
      <c r="G62" s="21"/>
      <c r="H62" s="20"/>
      <c r="I62" s="36"/>
      <c r="J62" s="300"/>
      <c r="K62" s="302"/>
      <c r="L62" s="302"/>
      <c r="M62" s="302"/>
      <c r="N62" s="44">
        <f t="shared" si="15"/>
        <v>0</v>
      </c>
      <c r="O62" s="55"/>
      <c r="P62" s="55"/>
      <c r="S62" s="300" t="str">
        <f t="shared" si="16"/>
        <v>Use column to right</v>
      </c>
      <c r="T62" s="35" t="str">
        <f t="shared" si="18"/>
        <v>Enter data here</v>
      </c>
      <c r="U62" s="35" t="s">
        <v>1064</v>
      </c>
      <c r="V62" s="373" t="str">
        <f t="shared" si="17"/>
        <v>Unfilled fields to left</v>
      </c>
      <c r="X62" s="25"/>
      <c r="Y62" s="12"/>
    </row>
    <row r="63" spans="2:25">
      <c r="B63" s="186" t="s">
        <v>1021</v>
      </c>
      <c r="C63" s="184" t="s">
        <v>1146</v>
      </c>
      <c r="D63" s="179" t="s">
        <v>479</v>
      </c>
      <c r="E63" s="35"/>
      <c r="F63" s="24"/>
      <c r="G63" s="21"/>
      <c r="H63" s="20"/>
      <c r="I63" s="36"/>
      <c r="J63" s="300"/>
      <c r="K63" s="302"/>
      <c r="L63" s="302"/>
      <c r="M63" s="302"/>
      <c r="N63" s="44">
        <f t="shared" si="15"/>
        <v>0</v>
      </c>
      <c r="O63" s="55"/>
      <c r="P63" s="55"/>
      <c r="S63" s="300" t="str">
        <f t="shared" ref="S63" si="19">IF(B63="", "", IF(D63="MWh/yr (LHV)", "Use column to right", "Enter data here"))</f>
        <v>Use column to right</v>
      </c>
      <c r="T63" s="35" t="str">
        <f t="shared" ref="T63" si="20">IF(B63="", "", IF(D63="MWh/yr (LHV)", "Enter data here", "Use column to left"))</f>
        <v>Enter data here</v>
      </c>
      <c r="U63" s="35" t="s">
        <v>1064</v>
      </c>
      <c r="V63" s="373" t="str">
        <f t="shared" ref="V63" si="21">IFERROR(IF(D63="tonnes/yr", $S63*$E63/($N$9*3.6), $T63*$E63*3.6/($N$9*3.6)), "Unfilled fields to left")</f>
        <v>Unfilled fields to left</v>
      </c>
      <c r="X63" s="25"/>
      <c r="Y63" s="12"/>
    </row>
    <row r="64" spans="2:25">
      <c r="B64" s="186" t="s">
        <v>1021</v>
      </c>
      <c r="C64" s="184" t="s">
        <v>1147</v>
      </c>
      <c r="D64" s="179" t="s">
        <v>479</v>
      </c>
      <c r="E64" s="35"/>
      <c r="F64" s="24"/>
      <c r="G64" s="21"/>
      <c r="H64" s="20"/>
      <c r="I64" s="36"/>
      <c r="J64" s="300"/>
      <c r="K64" s="302"/>
      <c r="L64" s="302"/>
      <c r="M64" s="302"/>
      <c r="N64" s="44">
        <f t="shared" si="15"/>
        <v>0</v>
      </c>
      <c r="O64" s="55"/>
      <c r="P64" s="55"/>
      <c r="S64" s="300" t="str">
        <f t="shared" si="16"/>
        <v>Use column to right</v>
      </c>
      <c r="T64" s="35" t="str">
        <f t="shared" si="18"/>
        <v>Enter data here</v>
      </c>
      <c r="U64" s="35" t="s">
        <v>1064</v>
      </c>
      <c r="V64" s="373" t="str">
        <f t="shared" si="17"/>
        <v>Unfilled fields to left</v>
      </c>
      <c r="X64" s="25"/>
      <c r="Y64" s="12"/>
    </row>
    <row r="65" spans="2:24" s="14" customFormat="1">
      <c r="B65" s="186"/>
      <c r="C65" s="184"/>
      <c r="D65" s="179"/>
      <c r="E65" s="35"/>
      <c r="F65" s="24"/>
      <c r="G65" s="21"/>
      <c r="H65" s="21"/>
      <c r="I65" s="21"/>
      <c r="J65" s="306"/>
      <c r="K65" s="306"/>
      <c r="L65" s="306"/>
      <c r="M65" s="306"/>
      <c r="N65" s="44">
        <f t="shared" si="15"/>
        <v>0</v>
      </c>
      <c r="O65" s="12"/>
      <c r="P65" s="12"/>
      <c r="Q65" s="12"/>
      <c r="R65" s="12"/>
      <c r="S65" s="300" t="str">
        <f t="shared" si="16"/>
        <v/>
      </c>
      <c r="T65" s="35" t="str">
        <f>IF(B65="", "", IF(D65="MWh/yr (LHV)", "Enter data here", "Use column to left"))</f>
        <v/>
      </c>
      <c r="U65" s="35"/>
      <c r="V65" s="373" t="str">
        <f t="shared" si="17"/>
        <v>Unfilled fields to left</v>
      </c>
      <c r="X65" s="21"/>
    </row>
    <row r="66" spans="2:24" s="14" customFormat="1">
      <c r="B66" s="68"/>
      <c r="C66" s="69"/>
      <c r="D66" s="69"/>
      <c r="E66" s="142"/>
      <c r="F66" s="70"/>
      <c r="G66" s="70"/>
      <c r="H66" s="71"/>
      <c r="I66" s="71"/>
      <c r="J66" s="73"/>
      <c r="K66" s="73"/>
      <c r="L66" s="73"/>
      <c r="M66" s="73"/>
      <c r="N66" s="73"/>
      <c r="O66" s="12"/>
      <c r="P66" s="12"/>
      <c r="Q66" s="12"/>
      <c r="R66" s="12"/>
      <c r="S66" s="73"/>
      <c r="T66" s="73"/>
      <c r="U66" s="73"/>
      <c r="V66" s="142"/>
      <c r="X66" s="70"/>
    </row>
    <row r="67" spans="2:24" s="14" customFormat="1" ht="16.5">
      <c r="B67" s="145" t="s">
        <v>1304</v>
      </c>
      <c r="C67" s="159"/>
      <c r="D67" s="159"/>
      <c r="E67" s="499"/>
      <c r="F67" s="160"/>
      <c r="G67" s="161"/>
      <c r="H67" s="160"/>
      <c r="I67" s="160"/>
      <c r="J67" s="307"/>
      <c r="K67" s="307"/>
      <c r="L67" s="307"/>
      <c r="M67" s="307"/>
      <c r="N67" s="307"/>
      <c r="O67" s="162"/>
      <c r="P67" s="162"/>
      <c r="Q67" s="163"/>
      <c r="R67" s="152"/>
      <c r="S67" s="307"/>
      <c r="T67" s="307"/>
      <c r="U67" s="307"/>
      <c r="V67" s="171">
        <f>SUM(V68:V71)</f>
        <v>0</v>
      </c>
      <c r="X67" s="70"/>
    </row>
    <row r="68" spans="2:24" s="14" customFormat="1">
      <c r="B68" s="186" t="s">
        <v>1070</v>
      </c>
      <c r="C68" s="184" t="s">
        <v>1305</v>
      </c>
      <c r="D68" s="179" t="s">
        <v>459</v>
      </c>
      <c r="E68" s="35">
        <f>(E44+E46)*$E$93</f>
        <v>0</v>
      </c>
      <c r="F68" s="63"/>
      <c r="G68" s="63"/>
      <c r="H68" s="63"/>
      <c r="I68" s="63"/>
      <c r="J68" s="304"/>
      <c r="K68" s="306"/>
      <c r="L68" s="306"/>
      <c r="M68" s="306"/>
      <c r="N68" s="44">
        <f t="shared" ref="N68:N78" si="22">IF($D68="MWh/yr (LHV)",$E68,$J68*$E68*(1-$L68)/Conversion_kWh_to_MJ)</f>
        <v>0</v>
      </c>
      <c r="O68" s="12"/>
      <c r="P68" s="12"/>
      <c r="Q68" s="12"/>
      <c r="R68" s="12"/>
      <c r="S68" s="303">
        <v>-1000</v>
      </c>
      <c r="T68" s="477"/>
      <c r="U68" s="35" t="s">
        <v>1203</v>
      </c>
      <c r="V68" s="263" t="str">
        <f>IFERROR(IF(D68="tonnes/yr", $S68*$E68/($N$9*3.6), $T68*$E68*3.6/($N$9*3.6)), "Unfilled fields to left")</f>
        <v>Unfilled fields to left</v>
      </c>
      <c r="X68" s="21"/>
    </row>
    <row r="69" spans="2:24" s="14" customFormat="1">
      <c r="B69" s="186" t="s">
        <v>1070</v>
      </c>
      <c r="C69" s="184" t="s">
        <v>1071</v>
      </c>
      <c r="D69" s="179" t="s">
        <v>459</v>
      </c>
      <c r="E69" s="35">
        <f>(E45+E47)*$E$93</f>
        <v>0</v>
      </c>
      <c r="F69" s="21"/>
      <c r="G69" s="21"/>
      <c r="H69" s="63"/>
      <c r="I69" s="63"/>
      <c r="J69" s="304"/>
      <c r="K69" s="306"/>
      <c r="L69" s="306"/>
      <c r="M69" s="306"/>
      <c r="N69" s="44">
        <f t="shared" si="22"/>
        <v>0</v>
      </c>
      <c r="O69" s="19"/>
      <c r="P69" s="19"/>
      <c r="Q69" s="19"/>
      <c r="R69" s="19"/>
      <c r="S69" s="35">
        <v>-1000</v>
      </c>
      <c r="T69" s="518"/>
      <c r="U69" s="35" t="s">
        <v>1134</v>
      </c>
      <c r="V69" s="263" t="str">
        <f>IFERROR(IF(D69="tonnes/yr", $S69*$E69/($N$9*3.6), $T69*$E69*3.6/($N$9*3.6)), "Unfilled fields to left")</f>
        <v>Unfilled fields to left</v>
      </c>
      <c r="X69" s="65"/>
    </row>
    <row r="70" spans="2:24" s="14" customFormat="1">
      <c r="B70" s="187"/>
      <c r="C70" s="184"/>
      <c r="D70" s="179"/>
      <c r="E70" s="35"/>
      <c r="F70" s="21"/>
      <c r="G70" s="21"/>
      <c r="H70" s="63"/>
      <c r="I70" s="63"/>
      <c r="J70" s="304"/>
      <c r="K70" s="306"/>
      <c r="L70" s="306"/>
      <c r="M70" s="306"/>
      <c r="N70" s="44"/>
      <c r="O70" s="19"/>
      <c r="P70" s="19"/>
      <c r="Q70" s="19"/>
      <c r="R70" s="19"/>
      <c r="S70" s="483"/>
      <c r="T70" s="518"/>
      <c r="U70" s="35"/>
      <c r="V70" s="263"/>
      <c r="X70" s="65"/>
    </row>
    <row r="71" spans="2:24" s="14" customFormat="1">
      <c r="B71" s="187"/>
      <c r="C71" s="184"/>
      <c r="D71" s="179"/>
      <c r="E71" s="35"/>
      <c r="F71" s="21"/>
      <c r="G71" s="21"/>
      <c r="H71" s="63"/>
      <c r="I71" s="63"/>
      <c r="J71" s="304"/>
      <c r="K71" s="306"/>
      <c r="L71" s="306"/>
      <c r="M71" s="306"/>
      <c r="N71" s="44"/>
      <c r="O71" s="19"/>
      <c r="P71" s="19"/>
      <c r="Q71" s="19"/>
      <c r="R71" s="19"/>
      <c r="S71" s="483"/>
      <c r="T71" s="518"/>
      <c r="U71" s="35"/>
      <c r="V71" s="263"/>
      <c r="X71" s="65"/>
    </row>
    <row r="72" spans="2:24" s="14" customFormat="1"/>
    <row r="73" spans="2:24" s="14" customFormat="1">
      <c r="B73" s="145" t="s">
        <v>947</v>
      </c>
      <c r="C73" s="159"/>
      <c r="D73" s="159"/>
      <c r="E73" s="499"/>
      <c r="F73" s="160"/>
      <c r="G73" s="161"/>
      <c r="H73" s="160"/>
      <c r="I73" s="160"/>
      <c r="J73" s="307"/>
      <c r="K73" s="307"/>
      <c r="L73" s="307"/>
      <c r="M73" s="307"/>
      <c r="N73" s="307"/>
      <c r="O73" s="162"/>
      <c r="P73" s="162"/>
      <c r="Q73" s="163"/>
      <c r="R73" s="152"/>
      <c r="S73" s="307"/>
      <c r="T73" s="307"/>
      <c r="U73" s="307"/>
      <c r="V73" s="171">
        <f>SUM(V74:V78)</f>
        <v>0</v>
      </c>
      <c r="X73" s="70"/>
    </row>
    <row r="74" spans="2:24" s="14" customFormat="1">
      <c r="B74" s="187" t="s">
        <v>1148</v>
      </c>
      <c r="C74" s="184" t="s">
        <v>1149</v>
      </c>
      <c r="D74" s="179" t="s">
        <v>459</v>
      </c>
      <c r="E74" s="35"/>
      <c r="F74" s="21"/>
      <c r="G74" s="21"/>
      <c r="H74" s="21"/>
      <c r="I74" s="21"/>
      <c r="J74" s="306"/>
      <c r="K74" s="306"/>
      <c r="L74" s="306"/>
      <c r="M74" s="306"/>
      <c r="N74" s="44">
        <f t="shared" si="22"/>
        <v>0</v>
      </c>
      <c r="O74" s="19"/>
      <c r="P74" s="19"/>
      <c r="Q74" s="19"/>
      <c r="R74" s="19"/>
      <c r="S74" s="517">
        <v>0</v>
      </c>
      <c r="T74" s="477"/>
      <c r="U74" s="35" t="s">
        <v>1150</v>
      </c>
      <c r="V74" s="263" t="str">
        <f>IFERROR(IF(D74="tonnes/yr", $S74*$E74/($N$9*3.6), $T74*$E74*3.6/($N$9*3.6)), "Unfilled fields to left")</f>
        <v>Unfilled fields to left</v>
      </c>
      <c r="X74" s="65"/>
    </row>
    <row r="75" spans="2:24" s="14" customFormat="1">
      <c r="B75" s="187" t="s">
        <v>1148</v>
      </c>
      <c r="C75" s="184" t="s">
        <v>1306</v>
      </c>
      <c r="D75" s="179" t="s">
        <v>459</v>
      </c>
      <c r="E75" s="35"/>
      <c r="F75" s="21"/>
      <c r="G75" s="21"/>
      <c r="H75" s="21"/>
      <c r="I75" s="21"/>
      <c r="J75" s="306"/>
      <c r="K75" s="306"/>
      <c r="L75" s="306"/>
      <c r="M75" s="306"/>
      <c r="N75" s="44">
        <f t="shared" si="22"/>
        <v>0</v>
      </c>
      <c r="O75" s="19"/>
      <c r="P75" s="19"/>
      <c r="Q75" s="19"/>
      <c r="R75" s="19"/>
      <c r="S75" s="517">
        <v>0</v>
      </c>
      <c r="T75" s="477"/>
      <c r="U75" s="35" t="s">
        <v>1150</v>
      </c>
      <c r="V75" s="263" t="str">
        <f t="shared" ref="V75:V76" si="23">IFERROR(IF(D75="tonnes/yr", $S75*$E75/($N$9*3.6), $T75*$E75*3.6/($N$9*3.6)), "Unfilled fields to left")</f>
        <v>Unfilled fields to left</v>
      </c>
      <c r="X75" s="65"/>
    </row>
    <row r="76" spans="2:24" s="14" customFormat="1">
      <c r="B76" s="187" t="s">
        <v>1148</v>
      </c>
      <c r="C76" s="184" t="s">
        <v>1307</v>
      </c>
      <c r="D76" s="179" t="s">
        <v>459</v>
      </c>
      <c r="E76" s="35"/>
      <c r="F76" s="21"/>
      <c r="G76" s="21"/>
      <c r="H76" s="21"/>
      <c r="I76" s="21"/>
      <c r="J76" s="306"/>
      <c r="K76" s="306"/>
      <c r="L76" s="306"/>
      <c r="M76" s="306"/>
      <c r="N76" s="44">
        <f t="shared" si="22"/>
        <v>0</v>
      </c>
      <c r="O76" s="19"/>
      <c r="P76" s="19"/>
      <c r="Q76" s="19"/>
      <c r="R76" s="19"/>
      <c r="S76" s="517">
        <v>-3664</v>
      </c>
      <c r="T76" s="477"/>
      <c r="U76" s="35" t="s">
        <v>1308</v>
      </c>
      <c r="V76" s="263" t="str">
        <f t="shared" si="23"/>
        <v>Unfilled fields to left</v>
      </c>
      <c r="X76" s="65"/>
    </row>
    <row r="77" spans="2:24" s="14" customFormat="1">
      <c r="B77" s="187" t="s">
        <v>1148</v>
      </c>
      <c r="C77" s="184" t="s">
        <v>1309</v>
      </c>
      <c r="D77" s="179" t="s">
        <v>459</v>
      </c>
      <c r="E77" s="35"/>
      <c r="F77" s="21"/>
      <c r="G77" s="21"/>
      <c r="H77" s="21"/>
      <c r="I77" s="21"/>
      <c r="J77" s="306"/>
      <c r="K77" s="306"/>
      <c r="L77" s="306"/>
      <c r="M77" s="306"/>
      <c r="N77" s="44">
        <f t="shared" si="22"/>
        <v>0</v>
      </c>
      <c r="O77" s="19"/>
      <c r="P77" s="19"/>
      <c r="Q77" s="19"/>
      <c r="R77" s="19"/>
      <c r="S77" s="517">
        <v>-3664</v>
      </c>
      <c r="T77" s="477"/>
      <c r="U77" s="35" t="s">
        <v>1308</v>
      </c>
      <c r="V77" s="263" t="str">
        <f>IFERROR(IF(D77="tonnes/yr", $S77*$E77/($N$9*3.6), $T77*$E77*3.6/($N$9*3.6)), "Unfilled fields to left")</f>
        <v>Unfilled fields to left</v>
      </c>
      <c r="X77" s="65"/>
    </row>
    <row r="78" spans="2:24" s="14" customFormat="1">
      <c r="B78" s="187"/>
      <c r="C78" s="184"/>
      <c r="D78" s="179"/>
      <c r="E78" s="35"/>
      <c r="F78" s="21"/>
      <c r="G78" s="21"/>
      <c r="H78" s="21"/>
      <c r="I78" s="21"/>
      <c r="J78" s="306"/>
      <c r="K78" s="306"/>
      <c r="L78" s="306"/>
      <c r="M78" s="306"/>
      <c r="N78" s="44">
        <f t="shared" si="22"/>
        <v>0</v>
      </c>
      <c r="O78" s="19"/>
      <c r="P78" s="19"/>
      <c r="Q78" s="19"/>
      <c r="R78" s="19"/>
      <c r="S78" s="517"/>
      <c r="T78" s="477"/>
      <c r="U78" s="300"/>
      <c r="V78" s="263" t="str">
        <f>IFERROR(IF(D78="tonnes/yr", $S78*$E78/($N$9*3.6), $T78*$E78*3.6/($N$9*3.6)), "Unfilled fields to left")</f>
        <v>Unfilled fields to left</v>
      </c>
      <c r="X78" s="65"/>
    </row>
    <row r="79" spans="2:24" s="14" customFormat="1">
      <c r="B79" s="68"/>
      <c r="C79" s="69"/>
      <c r="D79" s="69"/>
      <c r="E79" s="142"/>
      <c r="F79" s="70"/>
      <c r="G79" s="70"/>
      <c r="H79" s="71"/>
      <c r="I79" s="71"/>
      <c r="J79" s="73"/>
      <c r="K79" s="73"/>
      <c r="L79" s="73"/>
      <c r="M79" s="73"/>
      <c r="N79" s="73"/>
      <c r="O79" s="12"/>
      <c r="P79" s="12"/>
      <c r="Q79" s="12"/>
      <c r="R79" s="12"/>
      <c r="S79" s="73"/>
      <c r="T79" s="73"/>
      <c r="U79" s="73"/>
      <c r="V79" s="142"/>
      <c r="X79" s="70"/>
    </row>
    <row r="80" spans="2:24" s="14" customFormat="1" ht="16.5">
      <c r="B80" s="145" t="s">
        <v>131</v>
      </c>
      <c r="C80" s="159"/>
      <c r="D80" s="159"/>
      <c r="E80" s="499"/>
      <c r="F80" s="160"/>
      <c r="G80" s="161"/>
      <c r="H80" s="160"/>
      <c r="I80" s="160"/>
      <c r="J80" s="307"/>
      <c r="K80" s="307"/>
      <c r="L80" s="307"/>
      <c r="M80" s="307"/>
      <c r="N80" s="307"/>
      <c r="O80" s="162"/>
      <c r="P80" s="162"/>
      <c r="Q80" s="163"/>
      <c r="R80" s="152"/>
      <c r="S80" s="307"/>
      <c r="T80" s="307"/>
      <c r="U80" s="307"/>
      <c r="V80" s="171">
        <f>SUM(V81:V88)</f>
        <v>0</v>
      </c>
      <c r="X80" s="70"/>
    </row>
    <row r="81" spans="2:25" s="14" customFormat="1">
      <c r="B81" s="186" t="s">
        <v>1072</v>
      </c>
      <c r="C81" s="184" t="s">
        <v>1073</v>
      </c>
      <c r="D81" s="179" t="s">
        <v>459</v>
      </c>
      <c r="E81" s="35"/>
      <c r="F81" s="21"/>
      <c r="G81" s="21"/>
      <c r="H81" s="21"/>
      <c r="I81" s="21"/>
      <c r="J81" s="306"/>
      <c r="K81" s="306"/>
      <c r="L81" s="306"/>
      <c r="M81" s="306"/>
      <c r="N81" s="44">
        <f t="shared" ref="N81:N88" si="24">IF($D81="MWh/yr (LHV)",$E81,$J81*$E81*(1-$L81)/Conversion_kWh_to_MJ)</f>
        <v>0</v>
      </c>
      <c r="O81" s="12"/>
      <c r="P81" s="12"/>
      <c r="Q81" s="12"/>
      <c r="R81" s="12"/>
      <c r="S81" s="35">
        <v>28000</v>
      </c>
      <c r="T81" s="518"/>
      <c r="U81" s="35" t="s">
        <v>1059</v>
      </c>
      <c r="V81" s="263" t="str">
        <f t="shared" ref="V81:V88" si="25">IFERROR(IF(D81="tonnes/yr", $S81*$E81/($N$9*3.6), $T81*$E81*3.6/($N$9*3.6)), "Unfilled fields to left")</f>
        <v>Unfilled fields to left</v>
      </c>
      <c r="X81" s="21"/>
    </row>
    <row r="82" spans="2:25" s="14" customFormat="1">
      <c r="B82" s="187" t="s">
        <v>1074</v>
      </c>
      <c r="C82" s="184" t="s">
        <v>1075</v>
      </c>
      <c r="D82" s="179" t="s">
        <v>459</v>
      </c>
      <c r="E82" s="35"/>
      <c r="F82" s="65"/>
      <c r="G82" s="65"/>
      <c r="H82" s="66"/>
      <c r="I82" s="66"/>
      <c r="J82" s="308"/>
      <c r="K82" s="308"/>
      <c r="L82" s="308"/>
      <c r="M82" s="308"/>
      <c r="N82" s="44">
        <f t="shared" si="24"/>
        <v>0</v>
      </c>
      <c r="O82" s="19"/>
      <c r="P82" s="19"/>
      <c r="Q82" s="19"/>
      <c r="R82" s="19"/>
      <c r="S82" s="35">
        <v>265000</v>
      </c>
      <c r="T82" s="518"/>
      <c r="U82" s="483" t="s">
        <v>1059</v>
      </c>
      <c r="V82" s="263" t="str">
        <f t="shared" si="25"/>
        <v>Unfilled fields to left</v>
      </c>
      <c r="X82" s="65"/>
    </row>
    <row r="83" spans="2:25" s="14" customFormat="1">
      <c r="B83" s="187" t="s">
        <v>1076</v>
      </c>
      <c r="C83" s="184" t="s">
        <v>1077</v>
      </c>
      <c r="D83" s="179" t="s">
        <v>459</v>
      </c>
      <c r="E83" s="35"/>
      <c r="F83" s="65"/>
      <c r="G83" s="65"/>
      <c r="H83" s="66"/>
      <c r="I83" s="66"/>
      <c r="J83" s="308"/>
      <c r="K83" s="308"/>
      <c r="L83" s="308"/>
      <c r="M83" s="308"/>
      <c r="N83" s="44">
        <f t="shared" si="24"/>
        <v>0</v>
      </c>
      <c r="O83" s="19"/>
      <c r="P83" s="19"/>
      <c r="Q83" s="19"/>
      <c r="R83" s="19"/>
      <c r="S83" s="35">
        <v>23500000</v>
      </c>
      <c r="T83" s="518"/>
      <c r="U83" s="483" t="s">
        <v>1059</v>
      </c>
      <c r="V83" s="263" t="str">
        <f t="shared" si="25"/>
        <v>Unfilled fields to left</v>
      </c>
      <c r="X83" s="65"/>
    </row>
    <row r="84" spans="2:25" s="14" customFormat="1">
      <c r="B84" s="187" t="s">
        <v>1078</v>
      </c>
      <c r="C84" s="184" t="s">
        <v>1079</v>
      </c>
      <c r="D84" s="179" t="s">
        <v>459</v>
      </c>
      <c r="E84" s="35"/>
      <c r="F84" s="65"/>
      <c r="G84" s="65"/>
      <c r="H84" s="66"/>
      <c r="I84" s="66"/>
      <c r="J84" s="308"/>
      <c r="K84" s="308"/>
      <c r="L84" s="308"/>
      <c r="M84" s="308"/>
      <c r="N84" s="44">
        <f t="shared" si="24"/>
        <v>0</v>
      </c>
      <c r="O84" s="19"/>
      <c r="P84" s="19"/>
      <c r="Q84" s="19"/>
      <c r="R84" s="19"/>
      <c r="S84" s="519" t="s">
        <v>1080</v>
      </c>
      <c r="T84" s="518"/>
      <c r="U84" s="483"/>
      <c r="V84" s="263" t="str">
        <f t="shared" si="25"/>
        <v>Unfilled fields to left</v>
      </c>
      <c r="X84" s="65"/>
    </row>
    <row r="85" spans="2:25" s="14" customFormat="1">
      <c r="B85" s="187" t="s">
        <v>1078</v>
      </c>
      <c r="C85" s="184" t="s">
        <v>1079</v>
      </c>
      <c r="D85" s="179" t="s">
        <v>459</v>
      </c>
      <c r="E85" s="35"/>
      <c r="F85" s="65"/>
      <c r="G85" s="65"/>
      <c r="H85" s="66"/>
      <c r="I85" s="66"/>
      <c r="J85" s="308"/>
      <c r="K85" s="308"/>
      <c r="L85" s="308"/>
      <c r="M85" s="308"/>
      <c r="N85" s="44">
        <f t="shared" si="24"/>
        <v>0</v>
      </c>
      <c r="O85" s="19"/>
      <c r="P85" s="19"/>
      <c r="Q85" s="19"/>
      <c r="R85" s="19"/>
      <c r="S85" s="519" t="s">
        <v>1080</v>
      </c>
      <c r="T85" s="518"/>
      <c r="U85" s="483"/>
      <c r="V85" s="263" t="str">
        <f t="shared" si="25"/>
        <v>Unfilled fields to left</v>
      </c>
      <c r="X85" s="65"/>
    </row>
    <row r="86" spans="2:25" s="14" customFormat="1">
      <c r="B86" s="187" t="s">
        <v>1078</v>
      </c>
      <c r="C86" s="184" t="s">
        <v>1079</v>
      </c>
      <c r="D86" s="179" t="s">
        <v>459</v>
      </c>
      <c r="E86" s="35"/>
      <c r="F86" s="65"/>
      <c r="G86" s="65"/>
      <c r="H86" s="66"/>
      <c r="I86" s="66"/>
      <c r="J86" s="308"/>
      <c r="K86" s="308"/>
      <c r="L86" s="308"/>
      <c r="M86" s="308"/>
      <c r="N86" s="44">
        <f t="shared" si="24"/>
        <v>0</v>
      </c>
      <c r="O86" s="19"/>
      <c r="P86" s="19"/>
      <c r="Q86" s="19"/>
      <c r="R86" s="19"/>
      <c r="S86" s="519" t="s">
        <v>1080</v>
      </c>
      <c r="T86" s="518"/>
      <c r="U86" s="483"/>
      <c r="V86" s="263" t="str">
        <f t="shared" si="25"/>
        <v>Unfilled fields to left</v>
      </c>
      <c r="X86" s="65"/>
    </row>
    <row r="87" spans="2:25" s="14" customFormat="1">
      <c r="B87" s="64"/>
      <c r="C87" s="15"/>
      <c r="D87" s="180"/>
      <c r="E87" s="500"/>
      <c r="F87" s="65"/>
      <c r="G87" s="65"/>
      <c r="H87" s="66"/>
      <c r="I87" s="66"/>
      <c r="J87" s="308"/>
      <c r="K87" s="308"/>
      <c r="L87" s="308"/>
      <c r="M87" s="308"/>
      <c r="N87" s="44">
        <f t="shared" si="24"/>
        <v>0</v>
      </c>
      <c r="O87" s="19"/>
      <c r="P87" s="19"/>
      <c r="Q87" s="19"/>
      <c r="R87" s="19"/>
      <c r="S87" s="302"/>
      <c r="T87" s="477"/>
      <c r="U87" s="308"/>
      <c r="V87" s="263" t="str">
        <f t="shared" si="25"/>
        <v>Unfilled fields to left</v>
      </c>
      <c r="X87" s="65"/>
    </row>
    <row r="88" spans="2:25" s="14" customFormat="1">
      <c r="B88" s="64"/>
      <c r="C88" s="15"/>
      <c r="D88" s="180"/>
      <c r="E88" s="500"/>
      <c r="F88" s="65"/>
      <c r="G88" s="65"/>
      <c r="H88" s="66"/>
      <c r="I88" s="66"/>
      <c r="J88" s="308"/>
      <c r="K88" s="308"/>
      <c r="L88" s="308"/>
      <c r="M88" s="308"/>
      <c r="N88" s="44">
        <f t="shared" si="24"/>
        <v>0</v>
      </c>
      <c r="O88" s="19"/>
      <c r="P88" s="19"/>
      <c r="Q88" s="19"/>
      <c r="R88" s="19"/>
      <c r="S88" s="302"/>
      <c r="T88" s="477"/>
      <c r="U88" s="308"/>
      <c r="V88" s="263" t="str">
        <f t="shared" si="25"/>
        <v>Unfilled fields to left</v>
      </c>
      <c r="X88" s="65"/>
    </row>
    <row r="89" spans="2:25">
      <c r="C89" s="17"/>
      <c r="D89" s="17"/>
      <c r="E89" s="140"/>
      <c r="F89" s="17"/>
      <c r="H89" s="18"/>
      <c r="I89" s="18"/>
      <c r="J89" s="40"/>
      <c r="K89" s="40"/>
      <c r="L89" s="40"/>
      <c r="M89" s="40"/>
      <c r="N89" s="40"/>
      <c r="O89" s="12"/>
      <c r="P89" s="12"/>
      <c r="S89" s="40"/>
      <c r="T89" s="40"/>
      <c r="U89" s="40"/>
      <c r="V89" s="140"/>
      <c r="Y89" s="12"/>
    </row>
    <row r="90" spans="2:25">
      <c r="E90" s="113"/>
      <c r="I90" s="12"/>
      <c r="J90" s="107"/>
      <c r="K90" s="107"/>
      <c r="L90" s="107"/>
      <c r="M90" s="107"/>
      <c r="N90" s="107"/>
      <c r="O90" s="12"/>
      <c r="P90" s="12"/>
      <c r="S90" s="39"/>
      <c r="T90" s="39"/>
      <c r="U90" s="38" t="s">
        <v>1114</v>
      </c>
      <c r="V90" s="171">
        <f>SUM(V19,V31,V43,V49,V57,V67,V73,V80)</f>
        <v>0</v>
      </c>
      <c r="Y90" s="12"/>
    </row>
    <row r="91" spans="2:25">
      <c r="B91" s="145" t="s">
        <v>132</v>
      </c>
      <c r="C91" s="159"/>
      <c r="D91" s="159"/>
      <c r="E91" s="499"/>
      <c r="I91" s="12"/>
      <c r="J91" s="107"/>
      <c r="K91" s="107"/>
      <c r="L91" s="107"/>
      <c r="M91" s="107"/>
      <c r="N91" s="107"/>
      <c r="O91" s="12"/>
      <c r="P91" s="12"/>
      <c r="S91" s="107"/>
      <c r="T91" s="107"/>
      <c r="U91" s="107"/>
      <c r="V91" s="12"/>
      <c r="Y91" s="12"/>
    </row>
    <row r="92" spans="2:25">
      <c r="B92" s="16" t="s">
        <v>1086</v>
      </c>
      <c r="C92" s="15" t="s">
        <v>1087</v>
      </c>
      <c r="D92" s="15" t="s">
        <v>1088</v>
      </c>
      <c r="E92" s="501"/>
      <c r="G92" s="19"/>
      <c r="H92" s="12"/>
      <c r="I92" s="12"/>
      <c r="J92" s="107"/>
      <c r="K92" s="107"/>
      <c r="L92" s="107"/>
      <c r="M92" s="107"/>
      <c r="N92" s="107"/>
      <c r="O92" s="12"/>
      <c r="P92" s="12"/>
      <c r="S92" s="107"/>
      <c r="T92" s="107"/>
      <c r="U92" s="107"/>
      <c r="V92" s="12"/>
      <c r="X92" s="25"/>
      <c r="Y92" s="12"/>
    </row>
    <row r="93" spans="2:25">
      <c r="B93" s="16" t="s">
        <v>1091</v>
      </c>
      <c r="C93" s="15" t="s">
        <v>1136</v>
      </c>
      <c r="D93" s="15" t="s">
        <v>785</v>
      </c>
      <c r="E93" s="511">
        <f>Initial_questions!$E$93</f>
        <v>0</v>
      </c>
      <c r="I93" s="12"/>
      <c r="J93" s="107"/>
      <c r="K93" s="107"/>
      <c r="L93" s="107"/>
      <c r="M93" s="107"/>
      <c r="N93" s="107"/>
      <c r="O93" s="12"/>
      <c r="P93" s="12"/>
      <c r="S93" s="107"/>
      <c r="T93" s="107"/>
      <c r="U93" s="107"/>
      <c r="V93" s="12"/>
      <c r="X93" s="25"/>
      <c r="Y93" s="12"/>
    </row>
    <row r="94" spans="2:25">
      <c r="B94" s="16" t="s">
        <v>1091</v>
      </c>
      <c r="C94" s="15" t="s">
        <v>1152</v>
      </c>
      <c r="D94" s="15" t="s">
        <v>785</v>
      </c>
      <c r="E94" s="511">
        <f>Initial_questions!$E$102</f>
        <v>0</v>
      </c>
      <c r="I94" s="12"/>
      <c r="J94" s="107"/>
      <c r="K94" s="107"/>
      <c r="L94" s="107"/>
      <c r="M94" s="107"/>
      <c r="N94" s="107"/>
      <c r="O94" s="12"/>
      <c r="P94" s="12"/>
      <c r="S94" s="107"/>
      <c r="T94" s="107"/>
      <c r="U94" s="107"/>
      <c r="V94" s="12"/>
      <c r="X94" s="25"/>
      <c r="Y94" s="12"/>
    </row>
    <row r="95" spans="2:25">
      <c r="B95" s="16"/>
      <c r="C95" s="15"/>
      <c r="D95" s="15"/>
      <c r="E95" s="501"/>
      <c r="H95" s="12"/>
      <c r="I95" s="12"/>
      <c r="J95" s="107"/>
      <c r="K95" s="107"/>
      <c r="L95" s="107"/>
      <c r="M95" s="107"/>
      <c r="N95" s="107"/>
      <c r="O95" s="12"/>
      <c r="P95" s="12"/>
      <c r="S95" s="39"/>
      <c r="T95" s="39"/>
      <c r="U95" s="39"/>
      <c r="X95" s="25"/>
    </row>
    <row r="96" spans="2:25">
      <c r="E96" s="113"/>
      <c r="H96" s="12"/>
      <c r="I96" s="12"/>
      <c r="J96" s="107"/>
      <c r="K96" s="107"/>
      <c r="L96" s="107"/>
      <c r="M96" s="107"/>
      <c r="N96" s="107"/>
      <c r="O96" s="12"/>
      <c r="P96" s="12"/>
      <c r="S96" s="39"/>
      <c r="T96" s="39"/>
      <c r="U96" s="39"/>
    </row>
    <row r="97" spans="5:21">
      <c r="E97" s="113"/>
      <c r="J97" s="39"/>
      <c r="K97" s="39"/>
      <c r="L97" s="39"/>
      <c r="M97" s="39"/>
      <c r="S97" s="39"/>
      <c r="T97" s="39"/>
      <c r="U97" s="39"/>
    </row>
    <row r="98" spans="5:21">
      <c r="E98" s="113"/>
      <c r="J98" s="39"/>
      <c r="K98" s="39"/>
      <c r="L98" s="39"/>
      <c r="M98" s="39"/>
      <c r="S98" s="39"/>
      <c r="T98" s="39"/>
      <c r="U98" s="39"/>
    </row>
    <row r="99" spans="5:21">
      <c r="E99" s="113"/>
      <c r="J99" s="39"/>
      <c r="K99" s="39"/>
      <c r="L99" s="39"/>
      <c r="M99" s="39"/>
      <c r="S99" s="39"/>
      <c r="T99" s="39"/>
      <c r="U99" s="39"/>
    </row>
    <row r="100" spans="5:21">
      <c r="E100" s="113"/>
      <c r="J100" s="39"/>
      <c r="K100" s="39"/>
      <c r="L100" s="39"/>
      <c r="M100" s="39"/>
      <c r="S100" s="39"/>
      <c r="T100" s="39"/>
      <c r="U100" s="39"/>
    </row>
    <row r="101" spans="5:21">
      <c r="E101" s="113"/>
      <c r="J101" s="39"/>
      <c r="K101" s="39"/>
      <c r="L101" s="39"/>
      <c r="M101" s="39"/>
      <c r="S101" s="39"/>
      <c r="T101" s="39"/>
      <c r="U101" s="39"/>
    </row>
    <row r="102" spans="5:21">
      <c r="E102" s="113"/>
      <c r="J102" s="39"/>
      <c r="K102" s="39"/>
      <c r="L102" s="39"/>
      <c r="M102" s="39"/>
      <c r="S102" s="39"/>
      <c r="T102" s="39"/>
      <c r="U102" s="39"/>
    </row>
    <row r="103" spans="5:21">
      <c r="E103" s="113"/>
      <c r="J103" s="39"/>
      <c r="K103" s="39"/>
      <c r="L103" s="39"/>
      <c r="M103" s="39"/>
      <c r="S103" s="39"/>
      <c r="T103" s="39"/>
      <c r="U103" s="39"/>
    </row>
    <row r="104" spans="5:21">
      <c r="E104" s="113"/>
      <c r="J104" s="39"/>
      <c r="K104" s="39"/>
      <c r="L104" s="39"/>
      <c r="M104" s="39"/>
      <c r="S104" s="39"/>
      <c r="T104" s="39"/>
      <c r="U104" s="39"/>
    </row>
    <row r="105" spans="5:21">
      <c r="E105" s="113"/>
      <c r="J105" s="39"/>
      <c r="K105" s="39"/>
      <c r="L105" s="39"/>
      <c r="M105" s="39"/>
      <c r="S105" s="39"/>
      <c r="T105" s="39"/>
      <c r="U105" s="39"/>
    </row>
    <row r="106" spans="5:21">
      <c r="E106" s="113"/>
      <c r="J106" s="39"/>
      <c r="K106" s="39"/>
      <c r="L106" s="39"/>
      <c r="M106" s="39"/>
      <c r="S106" s="39"/>
      <c r="T106" s="39"/>
      <c r="U106" s="39"/>
    </row>
    <row r="107" spans="5:21">
      <c r="E107" s="113"/>
      <c r="J107" s="39"/>
      <c r="K107" s="39"/>
      <c r="L107" s="39"/>
      <c r="M107" s="39"/>
      <c r="S107" s="39"/>
      <c r="T107" s="39"/>
      <c r="U107" s="39"/>
    </row>
    <row r="108" spans="5:21">
      <c r="E108" s="113"/>
      <c r="J108" s="39"/>
      <c r="K108" s="39"/>
      <c r="L108" s="39"/>
      <c r="M108" s="39"/>
      <c r="S108" s="39"/>
      <c r="T108" s="39"/>
      <c r="U108" s="39"/>
    </row>
    <row r="109" spans="5:21">
      <c r="E109" s="113"/>
      <c r="J109" s="39"/>
      <c r="K109" s="39"/>
      <c r="L109" s="39"/>
      <c r="M109" s="39"/>
      <c r="S109" s="39"/>
      <c r="T109" s="39"/>
      <c r="U109" s="39"/>
    </row>
    <row r="110" spans="5:21">
      <c r="E110" s="113"/>
      <c r="J110" s="39"/>
      <c r="K110" s="39"/>
      <c r="L110" s="39"/>
      <c r="M110" s="39"/>
      <c r="S110" s="39"/>
      <c r="T110" s="39"/>
      <c r="U110" s="39"/>
    </row>
    <row r="111" spans="5:21">
      <c r="E111" s="113"/>
      <c r="J111" s="39"/>
      <c r="K111" s="39"/>
      <c r="L111" s="39"/>
      <c r="M111" s="39"/>
      <c r="S111" s="39"/>
      <c r="T111" s="39"/>
      <c r="U111" s="39"/>
    </row>
    <row r="112" spans="5:21">
      <c r="E112" s="113"/>
      <c r="J112" s="39"/>
      <c r="K112" s="39"/>
      <c r="L112" s="39"/>
      <c r="M112" s="39"/>
      <c r="S112" s="39"/>
      <c r="T112" s="39"/>
      <c r="U112" s="39"/>
    </row>
    <row r="113" spans="5:21">
      <c r="E113" s="113"/>
      <c r="J113" s="39"/>
      <c r="K113" s="39"/>
      <c r="L113" s="39"/>
      <c r="M113" s="39"/>
      <c r="S113" s="39"/>
      <c r="T113" s="39"/>
      <c r="U113" s="39"/>
    </row>
    <row r="114" spans="5:21">
      <c r="E114" s="113"/>
      <c r="J114" s="39"/>
      <c r="K114" s="39"/>
      <c r="L114" s="39"/>
      <c r="M114" s="39"/>
      <c r="S114" s="39"/>
      <c r="T114" s="39"/>
      <c r="U114" s="39"/>
    </row>
    <row r="115" spans="5:21">
      <c r="E115" s="113"/>
      <c r="J115" s="39"/>
      <c r="K115" s="39"/>
      <c r="L115" s="39"/>
      <c r="M115" s="39"/>
      <c r="S115" s="39"/>
      <c r="T115" s="39"/>
      <c r="U115" s="39"/>
    </row>
    <row r="116" spans="5:21">
      <c r="E116" s="113"/>
      <c r="J116" s="39"/>
      <c r="K116" s="39"/>
      <c r="L116" s="39"/>
      <c r="M116" s="39"/>
      <c r="S116" s="39"/>
      <c r="T116" s="39"/>
      <c r="U116" s="39"/>
    </row>
    <row r="117" spans="5:21">
      <c r="E117" s="113"/>
      <c r="J117" s="39"/>
      <c r="K117" s="39"/>
      <c r="L117" s="39"/>
      <c r="M117" s="39"/>
      <c r="S117" s="39"/>
      <c r="T117" s="39"/>
      <c r="U117" s="39"/>
    </row>
    <row r="118" spans="5:21">
      <c r="E118" s="113"/>
      <c r="J118" s="39"/>
      <c r="K118" s="39"/>
      <c r="L118" s="39"/>
      <c r="M118" s="39"/>
      <c r="S118" s="39"/>
      <c r="T118" s="39"/>
      <c r="U118" s="39"/>
    </row>
    <row r="119" spans="5:21">
      <c r="E119" s="113"/>
      <c r="J119" s="39"/>
      <c r="K119" s="39"/>
      <c r="L119" s="39"/>
      <c r="M119" s="39"/>
      <c r="S119" s="39"/>
      <c r="T119" s="39"/>
      <c r="U119" s="39"/>
    </row>
    <row r="120" spans="5:21">
      <c r="E120" s="113"/>
      <c r="J120" s="39"/>
      <c r="K120" s="39"/>
      <c r="L120" s="39"/>
      <c r="M120" s="39"/>
      <c r="S120" s="39"/>
      <c r="T120" s="39"/>
      <c r="U120" s="39"/>
    </row>
    <row r="121" spans="5:21">
      <c r="E121" s="113"/>
      <c r="J121" s="39"/>
      <c r="K121" s="39"/>
      <c r="L121" s="39"/>
      <c r="M121" s="39"/>
      <c r="S121" s="39"/>
      <c r="T121" s="39"/>
      <c r="U121" s="39"/>
    </row>
    <row r="122" spans="5:21">
      <c r="E122" s="113"/>
      <c r="J122" s="39"/>
      <c r="K122" s="39"/>
      <c r="L122" s="39"/>
      <c r="M122" s="39"/>
      <c r="S122" s="39"/>
      <c r="T122" s="39"/>
      <c r="U122" s="39"/>
    </row>
    <row r="123" spans="5:21">
      <c r="E123" s="113"/>
      <c r="J123" s="39"/>
      <c r="K123" s="39"/>
      <c r="L123" s="39"/>
      <c r="M123" s="39"/>
      <c r="S123" s="39"/>
      <c r="T123" s="39"/>
      <c r="U123" s="39"/>
    </row>
    <row r="124" spans="5:21">
      <c r="E124" s="113"/>
      <c r="J124" s="39"/>
      <c r="K124" s="39"/>
      <c r="L124" s="39"/>
      <c r="M124" s="39"/>
      <c r="S124" s="39"/>
      <c r="T124" s="39"/>
      <c r="U124" s="39"/>
    </row>
    <row r="125" spans="5:21">
      <c r="E125" s="113"/>
      <c r="J125" s="39"/>
      <c r="K125" s="39"/>
      <c r="L125" s="39"/>
      <c r="M125" s="39"/>
      <c r="S125" s="39"/>
      <c r="T125" s="39"/>
      <c r="U125" s="39"/>
    </row>
    <row r="126" spans="5:21">
      <c r="E126" s="113"/>
      <c r="J126" s="39"/>
      <c r="K126" s="39"/>
      <c r="L126" s="39"/>
      <c r="M126" s="39"/>
      <c r="S126" s="39"/>
      <c r="T126" s="39"/>
      <c r="U126" s="39"/>
    </row>
    <row r="127" spans="5:21">
      <c r="E127" s="113"/>
      <c r="J127" s="39"/>
      <c r="K127" s="39"/>
      <c r="L127" s="39"/>
      <c r="M127" s="39"/>
      <c r="S127" s="39"/>
      <c r="T127" s="39"/>
      <c r="U127" s="39"/>
    </row>
    <row r="128" spans="5:21">
      <c r="E128" s="113"/>
      <c r="J128" s="39"/>
      <c r="K128" s="39"/>
      <c r="L128" s="39"/>
      <c r="M128" s="39"/>
      <c r="S128" s="39"/>
      <c r="T128" s="39"/>
      <c r="U128" s="39"/>
    </row>
    <row r="129" spans="5:21">
      <c r="E129" s="113"/>
      <c r="J129" s="39"/>
      <c r="K129" s="39"/>
      <c r="L129" s="39"/>
      <c r="M129" s="39"/>
      <c r="S129" s="39"/>
      <c r="T129" s="39"/>
      <c r="U129" s="39"/>
    </row>
    <row r="130" spans="5:21">
      <c r="E130" s="113"/>
      <c r="J130" s="39"/>
      <c r="K130" s="39"/>
      <c r="L130" s="39"/>
      <c r="M130" s="39"/>
      <c r="S130" s="39"/>
      <c r="T130" s="39"/>
      <c r="U130" s="39"/>
    </row>
    <row r="131" spans="5:21">
      <c r="E131" s="113"/>
      <c r="J131" s="39"/>
      <c r="K131" s="39"/>
      <c r="L131" s="39"/>
      <c r="M131" s="39"/>
      <c r="S131" s="39"/>
      <c r="T131" s="39"/>
      <c r="U131" s="39"/>
    </row>
    <row r="132" spans="5:21">
      <c r="E132" s="113"/>
      <c r="J132" s="39"/>
      <c r="K132" s="39"/>
      <c r="L132" s="39"/>
      <c r="M132" s="39"/>
      <c r="S132" s="39"/>
      <c r="T132" s="39"/>
      <c r="U132" s="39"/>
    </row>
    <row r="133" spans="5:21">
      <c r="E133" s="113"/>
      <c r="J133" s="39"/>
      <c r="K133" s="39"/>
      <c r="L133" s="39"/>
      <c r="M133" s="39"/>
      <c r="S133" s="39"/>
      <c r="T133" s="39"/>
      <c r="U133" s="39"/>
    </row>
    <row r="134" spans="5:21">
      <c r="E134" s="113"/>
      <c r="J134" s="39"/>
      <c r="K134" s="39"/>
      <c r="L134" s="39"/>
      <c r="M134" s="39"/>
      <c r="S134" s="39"/>
      <c r="T134" s="39"/>
      <c r="U134" s="39"/>
    </row>
    <row r="135" spans="5:21">
      <c r="E135" s="113"/>
      <c r="J135" s="39"/>
      <c r="K135" s="39"/>
      <c r="L135" s="39"/>
      <c r="M135" s="39"/>
      <c r="S135" s="39"/>
      <c r="T135" s="39"/>
      <c r="U135" s="39"/>
    </row>
    <row r="136" spans="5:21">
      <c r="E136" s="113"/>
      <c r="J136" s="39"/>
      <c r="K136" s="39"/>
      <c r="L136" s="39"/>
      <c r="M136" s="39"/>
      <c r="S136" s="39"/>
      <c r="T136" s="39"/>
      <c r="U136" s="39"/>
    </row>
    <row r="137" spans="5:21">
      <c r="E137" s="113"/>
      <c r="J137" s="39"/>
      <c r="K137" s="39"/>
      <c r="L137" s="39"/>
      <c r="M137" s="39"/>
      <c r="S137" s="39"/>
      <c r="T137" s="39"/>
      <c r="U137" s="39"/>
    </row>
    <row r="138" spans="5:21">
      <c r="E138" s="113"/>
      <c r="S138" s="39"/>
      <c r="T138" s="39"/>
      <c r="U138" s="39"/>
    </row>
    <row r="139" spans="5:21">
      <c r="E139" s="113"/>
      <c r="S139" s="39"/>
      <c r="T139" s="39"/>
      <c r="U139" s="39"/>
    </row>
    <row r="140" spans="5:21">
      <c r="E140" s="113"/>
      <c r="S140" s="39"/>
      <c r="T140" s="39"/>
      <c r="U140" s="39"/>
    </row>
    <row r="141" spans="5:21">
      <c r="E141" s="113"/>
      <c r="S141" s="39"/>
      <c r="T141" s="39"/>
      <c r="U141" s="39"/>
    </row>
    <row r="142" spans="5:21">
      <c r="E142" s="113"/>
      <c r="S142" s="39"/>
      <c r="T142" s="39"/>
      <c r="U142" s="39"/>
    </row>
    <row r="143" spans="5:21">
      <c r="E143" s="113"/>
      <c r="S143" s="39"/>
      <c r="T143" s="39"/>
      <c r="U143" s="39"/>
    </row>
    <row r="144" spans="5:21">
      <c r="E144" s="113"/>
      <c r="S144" s="39"/>
      <c r="T144" s="39"/>
      <c r="U144" s="39"/>
    </row>
    <row r="145" spans="5:21">
      <c r="E145" s="113"/>
      <c r="S145" s="39"/>
      <c r="T145" s="39"/>
      <c r="U145" s="39"/>
    </row>
    <row r="146" spans="5:21">
      <c r="E146" s="113"/>
      <c r="S146" s="39"/>
      <c r="T146" s="39"/>
      <c r="U146" s="39"/>
    </row>
    <row r="147" spans="5:21">
      <c r="E147" s="113"/>
      <c r="S147" s="39"/>
      <c r="T147" s="39"/>
      <c r="U147" s="39"/>
    </row>
    <row r="148" spans="5:21">
      <c r="E148" s="113"/>
      <c r="S148" s="39"/>
      <c r="T148" s="39"/>
      <c r="U148" s="39"/>
    </row>
    <row r="149" spans="5:21">
      <c r="E149" s="113"/>
      <c r="S149" s="39"/>
      <c r="T149" s="39"/>
      <c r="U149" s="39"/>
    </row>
    <row r="150" spans="5:21">
      <c r="E150" s="113"/>
      <c r="S150" s="39"/>
      <c r="T150" s="39"/>
      <c r="U150" s="39"/>
    </row>
    <row r="151" spans="5:21">
      <c r="E151" s="113"/>
      <c r="S151" s="39"/>
      <c r="T151" s="39"/>
      <c r="U151" s="39"/>
    </row>
    <row r="152" spans="5:21">
      <c r="E152" s="113"/>
      <c r="S152" s="39"/>
      <c r="T152" s="39"/>
      <c r="U152" s="39"/>
    </row>
    <row r="153" spans="5:21">
      <c r="E153" s="113"/>
      <c r="S153" s="39"/>
      <c r="T153" s="39"/>
      <c r="U153" s="39"/>
    </row>
    <row r="154" spans="5:21">
      <c r="E154" s="113"/>
      <c r="S154" s="39"/>
      <c r="T154" s="39"/>
      <c r="U154" s="39"/>
    </row>
    <row r="155" spans="5:21">
      <c r="E155" s="113"/>
      <c r="S155" s="39"/>
      <c r="T155" s="39"/>
      <c r="U155" s="39"/>
    </row>
    <row r="156" spans="5:21">
      <c r="E156" s="113"/>
      <c r="S156" s="39"/>
      <c r="T156" s="39"/>
      <c r="U156" s="39"/>
    </row>
    <row r="157" spans="5:21">
      <c r="E157" s="113"/>
      <c r="S157" s="39"/>
      <c r="T157" s="39"/>
      <c r="U157" s="39"/>
    </row>
    <row r="158" spans="5:21">
      <c r="E158" s="113"/>
      <c r="S158" s="39"/>
      <c r="T158" s="39"/>
      <c r="U158" s="39"/>
    </row>
    <row r="159" spans="5:21">
      <c r="E159" s="113"/>
      <c r="S159" s="39"/>
      <c r="T159" s="39"/>
      <c r="U159" s="39"/>
    </row>
    <row r="160" spans="5:21">
      <c r="E160" s="113"/>
      <c r="S160" s="39"/>
      <c r="T160" s="39"/>
      <c r="U160" s="39"/>
    </row>
    <row r="161" spans="5:21">
      <c r="E161" s="113"/>
      <c r="S161" s="39"/>
      <c r="T161" s="39"/>
      <c r="U161" s="39"/>
    </row>
    <row r="162" spans="5:21">
      <c r="E162" s="113"/>
      <c r="S162" s="39"/>
      <c r="T162" s="39"/>
      <c r="U162" s="39"/>
    </row>
    <row r="163" spans="5:21">
      <c r="E163" s="256"/>
      <c r="S163" s="39"/>
      <c r="T163" s="39"/>
      <c r="U163" s="39"/>
    </row>
    <row r="164" spans="5:21">
      <c r="E164" s="256"/>
      <c r="S164" s="39"/>
      <c r="T164" s="39"/>
      <c r="U164" s="39"/>
    </row>
    <row r="165" spans="5:21">
      <c r="E165" s="256"/>
      <c r="S165" s="39"/>
      <c r="T165" s="39"/>
      <c r="U165" s="39"/>
    </row>
    <row r="166" spans="5:21">
      <c r="E166" s="256"/>
      <c r="S166" s="39"/>
      <c r="T166" s="39"/>
      <c r="U166" s="39"/>
    </row>
    <row r="167" spans="5:21">
      <c r="E167" s="256"/>
      <c r="S167" s="39"/>
      <c r="T167" s="39"/>
      <c r="U167" s="39"/>
    </row>
    <row r="168" spans="5:21">
      <c r="E168" s="256"/>
      <c r="S168" s="39"/>
      <c r="T168" s="39"/>
      <c r="U168" s="39"/>
    </row>
    <row r="169" spans="5:21">
      <c r="E169" s="256"/>
      <c r="S169" s="39"/>
      <c r="T169" s="39"/>
      <c r="U169" s="39"/>
    </row>
    <row r="170" spans="5:21">
      <c r="E170" s="256"/>
      <c r="S170" s="39"/>
      <c r="T170" s="39"/>
      <c r="U170" s="39"/>
    </row>
    <row r="171" spans="5:21">
      <c r="E171" s="256"/>
      <c r="S171" s="39"/>
      <c r="T171" s="39"/>
      <c r="U171" s="39"/>
    </row>
    <row r="172" spans="5:21">
      <c r="E172" s="256"/>
      <c r="S172" s="39"/>
      <c r="T172" s="39"/>
      <c r="U172" s="39"/>
    </row>
    <row r="173" spans="5:21">
      <c r="E173" s="256"/>
      <c r="S173" s="39"/>
      <c r="T173" s="39"/>
      <c r="U173" s="39"/>
    </row>
    <row r="174" spans="5:21">
      <c r="E174" s="256"/>
      <c r="S174" s="39"/>
      <c r="T174" s="39"/>
      <c r="U174" s="39"/>
    </row>
    <row r="175" spans="5:21">
      <c r="E175" s="256"/>
      <c r="S175" s="39"/>
      <c r="T175" s="39"/>
      <c r="U175" s="39"/>
    </row>
    <row r="176" spans="5:21">
      <c r="E176" s="256"/>
      <c r="S176" s="39"/>
      <c r="T176" s="39"/>
      <c r="U176" s="39"/>
    </row>
    <row r="177" spans="5:21">
      <c r="E177" s="256"/>
      <c r="S177" s="39"/>
      <c r="T177" s="39"/>
      <c r="U177" s="39"/>
    </row>
    <row r="178" spans="5:21">
      <c r="E178" s="256"/>
      <c r="S178" s="39"/>
      <c r="T178" s="39"/>
      <c r="U178" s="39"/>
    </row>
    <row r="179" spans="5:21">
      <c r="E179" s="256"/>
      <c r="S179" s="39"/>
      <c r="T179" s="39"/>
      <c r="U179" s="39"/>
    </row>
    <row r="180" spans="5:21">
      <c r="E180" s="256"/>
      <c r="S180" s="39"/>
      <c r="T180" s="39"/>
      <c r="U180" s="39"/>
    </row>
    <row r="181" spans="5:21">
      <c r="E181" s="256"/>
      <c r="S181" s="39"/>
      <c r="T181" s="39"/>
      <c r="U181" s="39"/>
    </row>
    <row r="182" spans="5:21">
      <c r="E182" s="256"/>
      <c r="S182" s="39"/>
      <c r="T182" s="39"/>
      <c r="U182" s="39"/>
    </row>
    <row r="183" spans="5:21">
      <c r="E183" s="256"/>
      <c r="S183" s="39"/>
      <c r="T183" s="39"/>
      <c r="U183" s="39"/>
    </row>
    <row r="184" spans="5:21">
      <c r="E184" s="256"/>
      <c r="S184" s="39"/>
      <c r="T184" s="39"/>
      <c r="U184" s="39"/>
    </row>
    <row r="185" spans="5:21">
      <c r="E185" s="256"/>
      <c r="S185" s="39"/>
      <c r="T185" s="39"/>
      <c r="U185" s="39"/>
    </row>
    <row r="186" spans="5:21">
      <c r="E186" s="256"/>
      <c r="S186" s="39"/>
      <c r="T186" s="39"/>
      <c r="U186" s="39"/>
    </row>
    <row r="187" spans="5:21">
      <c r="E187" s="256"/>
      <c r="S187" s="39"/>
      <c r="T187" s="39"/>
      <c r="U187" s="39"/>
    </row>
    <row r="188" spans="5:21">
      <c r="E188" s="256"/>
      <c r="S188" s="39"/>
      <c r="T188" s="39"/>
      <c r="U188" s="39"/>
    </row>
    <row r="189" spans="5:21">
      <c r="E189" s="256"/>
      <c r="S189" s="39"/>
      <c r="T189" s="39"/>
      <c r="U189" s="39"/>
    </row>
    <row r="190" spans="5:21">
      <c r="E190" s="256"/>
      <c r="S190" s="39"/>
      <c r="T190" s="39"/>
      <c r="U190" s="39"/>
    </row>
    <row r="191" spans="5:21">
      <c r="E191" s="256"/>
      <c r="S191" s="39"/>
      <c r="T191" s="39"/>
      <c r="U191" s="39"/>
    </row>
    <row r="192" spans="5:21">
      <c r="E192" s="256"/>
      <c r="S192" s="39"/>
      <c r="T192" s="39"/>
      <c r="U192" s="39"/>
    </row>
    <row r="193" spans="5:21">
      <c r="E193" s="256"/>
      <c r="S193" s="39"/>
      <c r="T193" s="39"/>
      <c r="U193" s="39"/>
    </row>
    <row r="194" spans="5:21">
      <c r="E194" s="256"/>
      <c r="S194" s="39"/>
      <c r="T194" s="39"/>
      <c r="U194" s="39"/>
    </row>
    <row r="195" spans="5:21">
      <c r="E195" s="256"/>
      <c r="S195" s="39"/>
      <c r="T195" s="39"/>
      <c r="U195" s="39"/>
    </row>
    <row r="196" spans="5:21">
      <c r="E196" s="256"/>
      <c r="S196" s="39"/>
      <c r="T196" s="39"/>
      <c r="U196" s="39"/>
    </row>
    <row r="197" spans="5:21">
      <c r="E197" s="256"/>
      <c r="S197" s="39"/>
      <c r="T197" s="39"/>
      <c r="U197" s="39"/>
    </row>
    <row r="198" spans="5:21">
      <c r="E198" s="256"/>
      <c r="S198" s="39"/>
      <c r="T198" s="39"/>
      <c r="U198" s="39"/>
    </row>
    <row r="199" spans="5:21">
      <c r="E199" s="256"/>
      <c r="S199" s="39"/>
      <c r="T199" s="39"/>
      <c r="U199" s="39"/>
    </row>
    <row r="200" spans="5:21">
      <c r="E200" s="256"/>
      <c r="S200" s="39"/>
      <c r="T200" s="39"/>
      <c r="U200" s="39"/>
    </row>
    <row r="201" spans="5:21">
      <c r="E201" s="256"/>
      <c r="S201" s="39"/>
      <c r="T201" s="39"/>
      <c r="U201" s="39"/>
    </row>
    <row r="202" spans="5:21">
      <c r="E202" s="256"/>
      <c r="S202" s="39"/>
      <c r="T202" s="39"/>
      <c r="U202" s="39"/>
    </row>
    <row r="203" spans="5:21">
      <c r="E203" s="256"/>
      <c r="S203" s="39"/>
      <c r="T203" s="39"/>
      <c r="U203" s="39"/>
    </row>
    <row r="204" spans="5:21">
      <c r="E204" s="256"/>
      <c r="S204" s="39"/>
      <c r="T204" s="39"/>
      <c r="U204" s="39"/>
    </row>
    <row r="205" spans="5:21">
      <c r="E205" s="256"/>
    </row>
    <row r="206" spans="5:21">
      <c r="E206" s="256"/>
    </row>
    <row r="207" spans="5:21">
      <c r="E207" s="256"/>
    </row>
    <row r="208" spans="5:21">
      <c r="E208" s="256"/>
    </row>
    <row r="209" spans="5:5">
      <c r="E209" s="256"/>
    </row>
    <row r="210" spans="5:5">
      <c r="E210" s="256"/>
    </row>
    <row r="211" spans="5:5">
      <c r="E211" s="256"/>
    </row>
    <row r="212" spans="5:5">
      <c r="E212" s="256"/>
    </row>
    <row r="213" spans="5:5">
      <c r="E213" s="256"/>
    </row>
    <row r="214" spans="5:5">
      <c r="E214" s="256"/>
    </row>
    <row r="215" spans="5:5">
      <c r="E215" s="256"/>
    </row>
    <row r="216" spans="5:5">
      <c r="E216" s="256"/>
    </row>
    <row r="217" spans="5:5">
      <c r="E217" s="256"/>
    </row>
    <row r="218" spans="5:5">
      <c r="E218" s="256"/>
    </row>
    <row r="219" spans="5:5">
      <c r="E219" s="256"/>
    </row>
    <row r="220" spans="5:5">
      <c r="E220" s="256"/>
    </row>
    <row r="221" spans="5:5">
      <c r="E221" s="256"/>
    </row>
    <row r="222" spans="5:5">
      <c r="E222" s="256"/>
    </row>
    <row r="223" spans="5:5">
      <c r="E223" s="256"/>
    </row>
    <row r="224" spans="5:5">
      <c r="E224" s="256"/>
    </row>
    <row r="225" spans="5:5">
      <c r="E225" s="256"/>
    </row>
    <row r="226" spans="5:5">
      <c r="E226" s="256"/>
    </row>
    <row r="227" spans="5:5">
      <c r="E227" s="256"/>
    </row>
    <row r="228" spans="5:5">
      <c r="E228" s="256"/>
    </row>
    <row r="229" spans="5:5">
      <c r="E229" s="256"/>
    </row>
    <row r="230" spans="5:5">
      <c r="E230" s="256"/>
    </row>
    <row r="231" spans="5:5">
      <c r="E231" s="256"/>
    </row>
    <row r="232" spans="5:5">
      <c r="E232" s="256"/>
    </row>
    <row r="233" spans="5:5">
      <c r="E233" s="256"/>
    </row>
    <row r="234" spans="5:5">
      <c r="E234" s="256"/>
    </row>
    <row r="235" spans="5:5">
      <c r="E235" s="256"/>
    </row>
    <row r="236" spans="5:5">
      <c r="E236" s="256"/>
    </row>
    <row r="237" spans="5:5">
      <c r="E237" s="256"/>
    </row>
    <row r="238" spans="5:5">
      <c r="E238" s="256"/>
    </row>
    <row r="239" spans="5:5">
      <c r="E239" s="256"/>
    </row>
    <row r="240" spans="5:5">
      <c r="E240" s="256"/>
    </row>
    <row r="241" spans="5:5">
      <c r="E241" s="256"/>
    </row>
    <row r="242" spans="5:5">
      <c r="E242" s="256"/>
    </row>
    <row r="243" spans="5:5">
      <c r="E243" s="256"/>
    </row>
    <row r="244" spans="5:5">
      <c r="E244" s="256"/>
    </row>
    <row r="245" spans="5:5">
      <c r="E245" s="256"/>
    </row>
    <row r="246" spans="5:5">
      <c r="E246" s="256"/>
    </row>
    <row r="247" spans="5:5">
      <c r="E247" s="256"/>
    </row>
    <row r="248" spans="5:5">
      <c r="E248" s="256"/>
    </row>
    <row r="249" spans="5:5">
      <c r="E249" s="256"/>
    </row>
    <row r="250" spans="5:5">
      <c r="E250" s="256"/>
    </row>
    <row r="251" spans="5:5">
      <c r="E251" s="256"/>
    </row>
    <row r="252" spans="5:5">
      <c r="E252" s="256"/>
    </row>
    <row r="253" spans="5:5">
      <c r="E253" s="256"/>
    </row>
    <row r="254" spans="5:5">
      <c r="E254" s="256"/>
    </row>
    <row r="255" spans="5:5">
      <c r="E255" s="256"/>
    </row>
    <row r="256" spans="5:5">
      <c r="E256" s="256"/>
    </row>
    <row r="257" spans="5:5">
      <c r="E257" s="256"/>
    </row>
    <row r="258" spans="5:5">
      <c r="E258" s="256"/>
    </row>
    <row r="259" spans="5:5">
      <c r="E259" s="256"/>
    </row>
  </sheetData>
  <customSheetViews>
    <customSheetView guid="{2D920366-22B2-4182-A65D-0EDBE614FB37}" showGridLines="0">
      <pane xSplit="3" ySplit="5" topLeftCell="D6" activePane="bottomRight" state="frozen"/>
      <selection pane="bottomRight"/>
      <pageMargins left="0" right="0" top="0" bottom="0" header="0" footer="0"/>
    </customSheetView>
    <customSheetView guid="{F468A2FD-7987-4A9D-8BAE-1AACE523607F}" showGridLines="0" state="hidden">
      <pane xSplit="3" ySplit="5" topLeftCell="D6" activePane="bottomRight" state="frozen"/>
      <selection pane="bottomRight" activeCell="D1" sqref="D1"/>
      <pageMargins left="0" right="0" top="0" bottom="0" header="0" footer="0"/>
    </customSheetView>
    <customSheetView guid="{D97B1299-69D0-4EE0-B673-CCF74742F96B}" state="hidden">
      <selection activeCell="I2" sqref="I2:K2"/>
      <pageMargins left="0" right="0" top="0" bottom="0" header="0" footer="0"/>
    </customSheetView>
    <customSheetView guid="{3F0A4FBA-5323-448F-A023-B3E14C54064C}" showGridLines="0" state="hidden">
      <pane xSplit="3" ySplit="5" topLeftCell="M6" activePane="bottomRight" state="frozen"/>
      <selection pane="bottomRight" activeCell="D2" sqref="D2"/>
      <pageMargins left="0" right="0" top="0" bottom="0" header="0" footer="0"/>
    </customSheetView>
    <customSheetView guid="{E6EFD927-84B2-4D06-BB59-59D9DF522DA2}" showGridLines="0" state="hidden">
      <pane xSplit="3" ySplit="5" topLeftCell="D6" activePane="bottomRight" state="frozen"/>
      <selection pane="bottomRight" activeCell="D1" sqref="D1"/>
      <pageMargins left="0" right="0" top="0" bottom="0" header="0" footer="0"/>
    </customSheetView>
    <customSheetView guid="{0E935136-9A80-44B6-88D5-61E64D742049}" showGridLines="0" state="hidden">
      <pane xSplit="3" ySplit="5" topLeftCell="D6" activePane="bottomRight" state="frozen"/>
      <selection pane="bottomRight" activeCell="D1" sqref="D1"/>
      <pageMargins left="0" right="0" top="0" bottom="0" header="0" footer="0"/>
    </customSheetView>
    <customSheetView guid="{1C16EB38-F785-4168-9938-104594734038}" showGridLines="0" state="hidden">
      <pane xSplit="3" ySplit="5" topLeftCell="D6" activePane="bottomRight" state="frozen"/>
      <selection pane="bottomRight" activeCell="D1" sqref="D1"/>
      <pageMargins left="0" right="0" top="0" bottom="0" header="0" footer="0"/>
    </customSheetView>
    <customSheetView guid="{EECBF9DF-6D77-4263-85DA-71E40216BADD}" showGridLines="0" state="hidden">
      <pane xSplit="3" ySplit="5" topLeftCell="D6" activePane="bottomRight" state="frozen"/>
      <selection pane="bottomRight" activeCell="D1" sqref="D1"/>
      <pageMargins left="0" right="0" top="0" bottom="0" header="0" footer="0"/>
    </customSheetView>
    <customSheetView guid="{F03309BC-D3FA-4CF2-833B-D6D9A95FE1FB}" showGridLines="0">
      <pane xSplit="3" ySplit="5" topLeftCell="M6" activePane="bottomRight" state="frozen"/>
      <selection pane="bottomRight" activeCell="D2" sqref="D2"/>
      <pageMargins left="0" right="0" top="0" bottom="0" header="0" footer="0"/>
    </customSheetView>
  </customSheetViews>
  <mergeCells count="1">
    <mergeCell ref="I2:K2"/>
  </mergeCells>
  <dataValidations count="5">
    <dataValidation type="list" allowBlank="1" showInputMessage="1" showErrorMessage="1" sqref="D81:D88 D32:D41 D10:D17 D50:D55 D19:D29 D8 D44:D48 D68:D71 D74:D78 D58:D65" xr:uid="{924EE212-ABFC-4376-9EB3-095A8E037FA6}">
      <formula1>Flow_units</formula1>
    </dataValidation>
    <dataValidation type="custom" allowBlank="1" showInputMessage="1" showErrorMessage="1" error="Please do not change this formula" prompt="Please do not change this formula" sqref="W4 O6:P9 O18:P18 Q1:R4 V1:V4 N1:N4 S5:V5 R6:R8 O4:P4 N73:N1048576 Q73:R1048576 V73:V1048576 V6:V71 R14:R71 Q6:Q71 N6:N71" xr:uid="{997A9450-4DEB-4754-B16E-0F1F868588C1}">
      <formula1>"Please do not change this formula"</formula1>
    </dataValidation>
    <dataValidation type="custom" allowBlank="1" showInputMessage="1" showErrorMessage="1" error="Please do not change" sqref="R9:R13" xr:uid="{140F11B4-2B3F-42BD-B024-B7AE8053CBA4}">
      <formula1>"Please do not change"</formula1>
    </dataValidation>
    <dataValidation type="custom" allowBlank="1" showInputMessage="1" showErrorMessage="1" error="Please do not change this formula" sqref="O5:R5" xr:uid="{979B5C62-F473-4A0D-A48B-586466C5B29C}">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1:T89 S8:T66" xr:uid="{B331A143-E3C5-430B-9C57-B03F4C2D54AF}">
      <formula1>0</formula1>
    </dataValidation>
  </dataValidations>
  <hyperlinks>
    <hyperlink ref="I2:J2" location="GHG_GENERIC_OTHER!A1" display="Go to the summary tab of this pathway" xr:uid="{7AE5737C-D835-4426-AB23-BBF192C05E97}"/>
  </hyperlinks>
  <pageMargins left="0" right="0" top="0" bottom="0" header="0" footer="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2" id="{172122C1-C7C8-42B1-9E04-B676B6B1344D}">
            <xm:f>AND(Path&lt;&gt;Units!$B$139,Master_Switch="On")</xm:f>
            <x14:dxf>
              <font>
                <color theme="0"/>
              </font>
              <fill>
                <patternFill>
                  <bgColor theme="0"/>
                </patternFill>
              </fill>
              <border>
                <left/>
                <right/>
                <top/>
                <bottom/>
                <vertical/>
                <horizontal/>
              </border>
            </x14:dxf>
          </x14:cfRule>
          <xm:sqref>A2:XFD217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3B74437-FA78-4C79-B6EE-94A25E3BEB3A}">
          <x14:formula1>
            <xm:f>Units!$Z$120</xm:f>
          </x14:formula1>
          <xm:sqref>D9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FC67E-A63C-4B32-ADEE-FE21D2D1D829}">
  <sheetPr codeName="Sheet2">
    <tabColor theme="1"/>
    <pageSetUpPr autoPageBreaks="0"/>
  </sheetPr>
  <dimension ref="A2:K141"/>
  <sheetViews>
    <sheetView showGridLines="0" zoomScaleNormal="100" workbookViewId="0"/>
  </sheetViews>
  <sheetFormatPr defaultColWidth="8.81640625" defaultRowHeight="14.5"/>
  <cols>
    <col min="1" max="1" width="5" style="53" customWidth="1"/>
    <col min="2" max="2" width="18" customWidth="1"/>
    <col min="3" max="3" width="7.81640625" customWidth="1"/>
    <col min="4" max="4" width="152" customWidth="1"/>
    <col min="5" max="5" width="52.453125" style="346" customWidth="1"/>
    <col min="6" max="6" width="31" customWidth="1"/>
    <col min="7" max="7" width="13.1796875" customWidth="1"/>
    <col min="8" max="8" width="44.7265625" customWidth="1"/>
    <col min="9" max="9" width="41.81640625" style="309" customWidth="1"/>
    <col min="10" max="10" width="40.453125" style="309" customWidth="1"/>
    <col min="11" max="11" width="39.1796875" style="309" customWidth="1"/>
  </cols>
  <sheetData>
    <row r="2" spans="2:11">
      <c r="B2" s="190"/>
      <c r="C2" s="190"/>
      <c r="D2" s="190"/>
      <c r="E2" s="336"/>
      <c r="F2" s="190"/>
      <c r="G2" s="190"/>
    </row>
    <row r="3" spans="2:11">
      <c r="B3" s="190"/>
      <c r="C3" s="190"/>
      <c r="D3" s="190"/>
      <c r="E3" s="336"/>
      <c r="F3" s="190"/>
      <c r="G3" s="190"/>
    </row>
    <row r="4" spans="2:11">
      <c r="B4" s="190"/>
      <c r="C4" s="190"/>
      <c r="D4" s="190"/>
      <c r="E4" s="336"/>
      <c r="F4" s="190"/>
      <c r="G4" s="190"/>
    </row>
    <row r="5" spans="2:11">
      <c r="B5" s="190"/>
      <c r="C5" s="190"/>
      <c r="D5" s="190"/>
      <c r="E5" s="336"/>
      <c r="F5" s="190"/>
      <c r="G5" s="190"/>
    </row>
    <row r="6" spans="2:11">
      <c r="B6" s="190"/>
      <c r="C6" s="190"/>
      <c r="D6" s="190"/>
      <c r="E6" s="336"/>
      <c r="F6" s="190"/>
      <c r="G6" s="190"/>
    </row>
    <row r="7" spans="2:11">
      <c r="B7" s="190"/>
      <c r="C7" s="190"/>
      <c r="D7" s="190"/>
      <c r="E7" s="336"/>
      <c r="F7" s="190"/>
      <c r="G7" s="190"/>
    </row>
    <row r="8" spans="2:11">
      <c r="B8" s="190"/>
      <c r="C8" s="190"/>
      <c r="D8" s="190"/>
      <c r="E8" s="336"/>
      <c r="F8" s="190"/>
      <c r="G8" s="190"/>
    </row>
    <row r="9" spans="2:11">
      <c r="B9" s="190"/>
      <c r="C9" s="190"/>
      <c r="D9" s="190"/>
      <c r="E9" s="336"/>
      <c r="F9" s="190"/>
      <c r="G9" s="190"/>
    </row>
    <row r="10" spans="2:11">
      <c r="B10" s="190"/>
      <c r="C10" s="190"/>
      <c r="D10" s="190"/>
      <c r="E10" s="336"/>
      <c r="F10" s="190"/>
      <c r="G10" s="190"/>
    </row>
    <row r="11" spans="2:11" ht="28.5">
      <c r="B11" s="190"/>
      <c r="C11" s="191" t="s">
        <v>158</v>
      </c>
      <c r="D11" s="192"/>
      <c r="E11" s="337"/>
      <c r="F11" s="193"/>
      <c r="G11" s="190"/>
    </row>
    <row r="12" spans="2:11">
      <c r="B12" s="190"/>
      <c r="C12" s="194"/>
      <c r="D12" s="194"/>
      <c r="E12" s="338"/>
      <c r="F12" s="195"/>
      <c r="G12" s="190"/>
    </row>
    <row r="13" spans="2:11" ht="15.5">
      <c r="B13" s="190"/>
      <c r="C13" s="196" t="s">
        <v>159</v>
      </c>
      <c r="D13" s="197"/>
      <c r="E13" s="339"/>
      <c r="F13" s="198"/>
      <c r="G13" s="190"/>
    </row>
    <row r="14" spans="2:11">
      <c r="B14" s="190"/>
      <c r="C14" s="655" t="s">
        <v>160</v>
      </c>
      <c r="D14" s="655"/>
      <c r="E14" s="133"/>
      <c r="F14" s="199"/>
      <c r="G14" s="190"/>
    </row>
    <row r="15" spans="2:11">
      <c r="B15" s="190"/>
      <c r="C15" s="655" t="s">
        <v>161</v>
      </c>
      <c r="D15" s="655"/>
      <c r="E15" s="133"/>
      <c r="F15" s="199"/>
      <c r="G15" s="190"/>
      <c r="I15" s="310"/>
      <c r="J15" s="310"/>
      <c r="K15" s="312"/>
    </row>
    <row r="16" spans="2:11">
      <c r="B16" s="190"/>
      <c r="C16" s="655" t="s">
        <v>162</v>
      </c>
      <c r="D16" s="655"/>
      <c r="E16" s="133"/>
      <c r="F16" s="199"/>
      <c r="G16" s="190"/>
    </row>
    <row r="17" spans="2:8">
      <c r="B17" s="190"/>
      <c r="C17" s="230" t="s">
        <v>163</v>
      </c>
      <c r="D17" s="316"/>
      <c r="E17" s="144"/>
      <c r="F17" s="199"/>
      <c r="G17" s="190"/>
    </row>
    <row r="18" spans="2:8">
      <c r="B18" s="190"/>
      <c r="C18" s="650" t="s">
        <v>164</v>
      </c>
      <c r="D18" s="650"/>
      <c r="E18" s="133"/>
      <c r="F18" s="200"/>
      <c r="G18" s="190"/>
    </row>
    <row r="19" spans="2:8">
      <c r="B19" s="190"/>
      <c r="C19" s="654"/>
      <c r="D19" s="654"/>
      <c r="E19" s="201"/>
      <c r="F19" s="202"/>
      <c r="G19" s="190"/>
    </row>
    <row r="20" spans="2:8" ht="15.5">
      <c r="B20" s="190"/>
      <c r="C20" s="203" t="s">
        <v>165</v>
      </c>
      <c r="D20" s="204"/>
      <c r="E20" s="231"/>
      <c r="F20" s="205"/>
      <c r="G20" s="190"/>
    </row>
    <row r="21" spans="2:8">
      <c r="B21" s="190"/>
      <c r="C21" s="655" t="s">
        <v>166</v>
      </c>
      <c r="D21" s="655"/>
      <c r="E21" s="144"/>
      <c r="F21" s="199"/>
      <c r="G21" s="190"/>
      <c r="H21" s="549"/>
    </row>
    <row r="22" spans="2:8" ht="29.15" customHeight="1">
      <c r="B22" s="190"/>
      <c r="C22" s="219"/>
      <c r="D22" s="365" t="str">
        <f>IF(Path="Other","If Other is selected, please describe the hydrogen production pathway","Not applicable, as 'Other' pathway not selected, please move on to the next question")</f>
        <v>Not applicable, as 'Other' pathway not selected, please move on to the next question</v>
      </c>
      <c r="E22" s="133"/>
      <c r="F22" s="199"/>
      <c r="G22" s="190"/>
    </row>
    <row r="23" spans="2:8">
      <c r="B23" s="190"/>
      <c r="C23" s="655" t="s">
        <v>167</v>
      </c>
      <c r="D23" s="655"/>
      <c r="E23" s="144"/>
      <c r="F23" s="199"/>
      <c r="G23" s="190"/>
    </row>
    <row r="24" spans="2:8">
      <c r="B24" s="190"/>
      <c r="C24" s="650" t="s">
        <v>168</v>
      </c>
      <c r="D24" s="650"/>
      <c r="E24" s="144"/>
      <c r="F24" s="200"/>
      <c r="G24" s="190"/>
    </row>
    <row r="25" spans="2:8">
      <c r="B25" s="190"/>
      <c r="C25" s="664" t="str">
        <f>IF(Path="Other","As you have selected the 'Other' pathway, remember to select or enter 'Not applicable' in the boxes below if you believe a question is irrelevant to your project","")</f>
        <v/>
      </c>
      <c r="D25" s="664"/>
      <c r="E25" s="206"/>
      <c r="F25" s="202"/>
      <c r="G25" s="190"/>
    </row>
    <row r="26" spans="2:8" ht="15.5">
      <c r="B26" s="190"/>
      <c r="C26" s="203" t="str" cm="1">
        <f t="array" ref="C26">IF(OR(Path=Units!$B$120:$B$125),"Main input energy origins","Feedstock origins")</f>
        <v>Feedstock origins</v>
      </c>
      <c r="D26" s="204"/>
      <c r="E26" s="231"/>
      <c r="F26" s="205"/>
      <c r="G26" s="190"/>
    </row>
    <row r="27" spans="2:8">
      <c r="B27" s="190"/>
      <c r="C27" s="655" t="str" cm="1">
        <f t="array" ref="C27">IF(OR(Path=Units!$B$120:$B$125), "What is the main input energy source at the start of your hydrogen production pathway?", "What is the feedstock at the start of your hydrogen production pathway?")</f>
        <v>What is the feedstock at the start of your hydrogen production pathway?</v>
      </c>
      <c r="D27" s="655"/>
      <c r="E27" s="144"/>
      <c r="F27" s="199"/>
      <c r="G27" s="190"/>
    </row>
    <row r="28" spans="2:8" ht="59.25" customHeight="1">
      <c r="B28" s="190"/>
      <c r="C28" s="647" t="str" cm="1">
        <f t="array" ref="C28">IF(OR(Path=Units!$B$120:$B$125),
"Please state the exact energy sources used and any intermediate energy sources along the supply chain."&amp;" If using multiple or mixed energy sources, please indicate the breakdown of the energy souces used (by the % splits of hydrogen produced from each energ source, and if different, also by the split of energy sources on a LHV basis)."&amp;" If using multiple 'other' electricity sources, please complete separate Hydrogen Emission Calculator workbooks, one for each consignment (and give the results for each consignment in the Dashboard worksheet)",
"Please state the exact feedstocks used and any intermediate feedstocks that are created along the supply chain."&amp;" If using multiple or mixed feedstocks, please indicate the breakdown of the feedstocks used (by the % splits of hydrogen produced from each feedstock, and if different, also by the split of feedstock energy on a LHV basis)."&amp;" If using multiple feedstocks that form multiple hydrogen consignments, please complete separate Hydrogen Emission Calculator workbooks, one for each consignment (and give the results for each consignment in the Dashboard worksheet)")</f>
        <v>Please state the exact feedstocks used and any intermediate feedstocks that are created along the supply chain. If using multiple or mixed feedstocks, please indicate the breakdown of the feedstocks used (by the % splits of hydrogen produced from each feedstock, and if different, also by the split of feedstock energy on a LHV basis). If using multiple feedstocks that form multiple hydrogen consignments, please complete separate Hydrogen Emission Calculator workbooks, one for each consignment (and give the results for each consignment in the Dashboard worksheet)</v>
      </c>
      <c r="D28" s="647"/>
      <c r="E28" s="434"/>
      <c r="F28" s="199"/>
      <c r="G28" s="190"/>
    </row>
    <row r="29" spans="2:8">
      <c r="B29" s="190"/>
      <c r="C29" s="655" t="str" cm="1">
        <f t="array" ref="C29">IF(OR(Path=Units!$B$120:$B$125), "What location does the energy input(s) originate from?", "What location does the feedstock(s) originate from?")</f>
        <v>What location does the feedstock(s) originate from?</v>
      </c>
      <c r="D29" s="655"/>
      <c r="E29" s="144"/>
      <c r="F29" s="199"/>
      <c r="G29" s="190"/>
    </row>
    <row r="30" spans="2:8" ht="42.65" customHeight="1">
      <c r="B30" s="190"/>
      <c r="C30" s="662" t="str" cm="1">
        <f t="array" ref="C30">IF(OR(Path=Units!$B$120:$B$125),"Please give further details on the origins of the energy input(s) used", "Please give further details on the origins of the feedstock(s) used")</f>
        <v>Please give further details on the origins of the feedstock(s) used</v>
      </c>
      <c r="D30" s="662"/>
      <c r="E30" s="133"/>
      <c r="F30" s="574"/>
      <c r="G30" s="190"/>
    </row>
    <row r="31" spans="2:8">
      <c r="B31" s="190"/>
      <c r="C31" s="663"/>
      <c r="D31" s="663"/>
      <c r="E31" s="208"/>
      <c r="F31" s="192"/>
      <c r="G31" s="190"/>
    </row>
    <row r="32" spans="2:8" ht="15.5">
      <c r="B32" s="190"/>
      <c r="C32" s="209" t="s">
        <v>169</v>
      </c>
      <c r="D32" s="214"/>
      <c r="E32" s="215"/>
      <c r="F32" s="211"/>
      <c r="G32" s="190"/>
    </row>
    <row r="33" spans="2:10" ht="32.25" customHeight="1">
      <c r="B33" s="190"/>
      <c r="C33" s="647" t="s">
        <v>170</v>
      </c>
      <c r="D33" s="649"/>
      <c r="E33" s="336"/>
      <c r="F33" s="596"/>
      <c r="G33" s="190"/>
    </row>
    <row r="34" spans="2:10" ht="16.5">
      <c r="B34" s="190"/>
      <c r="C34" s="332"/>
      <c r="D34" s="321" t="s">
        <v>171</v>
      </c>
      <c r="E34" s="540" t="str" cm="1">
        <f t="array" ref="E34">IF(OR(Path=Units!$B$121:$B$124), 0, "Enter annual usage")</f>
        <v>Enter annual usage</v>
      </c>
      <c r="F34" s="597" t="s">
        <v>172</v>
      </c>
      <c r="G34" s="190"/>
    </row>
    <row r="35" spans="2:10" ht="16.5">
      <c r="B35" s="190"/>
      <c r="C35" s="332"/>
      <c r="D35" s="321" t="s">
        <v>173</v>
      </c>
      <c r="E35" s="540" t="str" cm="1">
        <f t="array" ref="E35">IF(OR(Path=Units!$B$122:$B$124, Path=Units!$B$120), 0, "Enter annual usage")</f>
        <v>Enter annual usage</v>
      </c>
      <c r="F35" s="597" t="s">
        <v>172</v>
      </c>
      <c r="G35" s="190"/>
    </row>
    <row r="36" spans="2:10" ht="16.5">
      <c r="B36" s="190"/>
      <c r="C36" s="332"/>
      <c r="D36" s="321" t="s">
        <v>174</v>
      </c>
      <c r="E36" s="540" t="str" cm="1">
        <f t="array" ref="E36">IF(OR(Path=Units!$B$123:$B$124, Path=Units!$B$120:$B$121), 0, "Enter annual usage")</f>
        <v>Enter annual usage</v>
      </c>
      <c r="F36" s="597" t="s">
        <v>172</v>
      </c>
      <c r="G36" s="190"/>
    </row>
    <row r="37" spans="2:10" ht="16.5">
      <c r="B37" s="190"/>
      <c r="C37" s="332"/>
      <c r="D37" s="321" t="s">
        <v>175</v>
      </c>
      <c r="E37" s="540" t="str" cm="1">
        <f t="array" ref="E37">IF(OR(Path=Units!$B$124, Path=Units!$B$120:$B$122), 0, "Enter annual usage")</f>
        <v>Enter annual usage</v>
      </c>
      <c r="F37" s="597" t="s">
        <v>172</v>
      </c>
      <c r="G37" s="190"/>
    </row>
    <row r="38" spans="2:10" ht="16.5">
      <c r="B38" s="190"/>
      <c r="C38" s="332"/>
      <c r="D38" s="321" t="s">
        <v>176</v>
      </c>
      <c r="E38" s="540" t="str" cm="1">
        <f t="array" ref="E38">IF(OR(Path=Units!$B$120:$B$123), 0, "Enter annual usage")</f>
        <v>Enter annual usage</v>
      </c>
      <c r="F38" s="597" t="s">
        <v>172</v>
      </c>
      <c r="G38" s="190"/>
    </row>
    <row r="39" spans="2:10" ht="16.5">
      <c r="B39" s="190"/>
      <c r="C39" s="332"/>
      <c r="D39" s="321" t="str">
        <f>IF(E35&gt;0,"What is the annual average GHG emissions intensity of the nuclear electricity source, including any applicable T&amp;D losses?","Not applicable, as 'nuclear electricity' not selected, please enter 0 and move on to the next question")</f>
        <v>What is the annual average GHG emissions intensity of the nuclear electricity source, including any applicable T&amp;D losses?</v>
      </c>
      <c r="E39" s="340" t="str">
        <f>IF(E35&gt;0,"Enter nuclear generation intensity / (1-T&amp;D losses)","Not applicable, as 'nuclear electricity' not selected, please enter 0 and move on to the next question")</f>
        <v>Enter nuclear generation intensity / (1-T&amp;D losses)</v>
      </c>
      <c r="F39" s="597" t="s">
        <v>177</v>
      </c>
      <c r="G39" s="190"/>
    </row>
    <row r="40" spans="2:10" ht="16.5">
      <c r="B40" s="190"/>
      <c r="C40" s="332"/>
      <c r="D40" s="321" t="str">
        <f>IF(E37&gt;0,"What is the annual average GHG emissions intensity of the stored electricity source, including any applicable T&amp;D losses?","Not applicable, as 'stored electricity' not selected, please enter 0 and move on to the next question")</f>
        <v>What is the annual average GHG emissions intensity of the stored electricity source, including any applicable T&amp;D losses?</v>
      </c>
      <c r="E40" s="340" t="str">
        <f>IF(E37&gt;0,"Enter average storage discharge intensity / (1-T&amp;D losses)","Not applicable, as 'stored electricity' not selected, please enter 0 and move on to the next question")</f>
        <v>Enter average storage discharge intensity / (1-T&amp;D losses)</v>
      </c>
      <c r="F40" s="597" t="s">
        <v>177</v>
      </c>
      <c r="G40" s="190"/>
    </row>
    <row r="41" spans="2:10" ht="16.5">
      <c r="B41" s="190"/>
      <c r="C41" s="332"/>
      <c r="D41" s="321" t="str">
        <f>IF(E38&gt;0,"What is the annual average GHG emissions intensity of the other electricity source(s), including any applicable T&amp;D losses?","Not applicable, as 'other electricity sources' not selected, please enter 0 and move on to the next question")</f>
        <v>What is the annual average GHG emissions intensity of the other electricity source(s), including any applicable T&amp;D losses?</v>
      </c>
      <c r="E41" s="340" t="str">
        <f>IF(E38&gt;0,"Enter electricity generation intensity / (1-T&amp;D losses)","Not applicable, as 'other electricity sources' not selected, please enter 0 and move on to the next question")</f>
        <v>Enter electricity generation intensity / (1-T&amp;D losses)</v>
      </c>
      <c r="F41" s="597" t="s">
        <v>177</v>
      </c>
      <c r="G41" s="190"/>
    </row>
    <row r="42" spans="2:10" ht="36.65" customHeight="1">
      <c r="B42" s="190"/>
      <c r="C42" s="319"/>
      <c r="D42" s="601" t="str">
        <f>IF(OR(E37,E38&gt;0),"Please reference documents evidencing the calculation of the GHG emissions intensity of the stored electricity and/or other electricity source, and any T&amp;D losses applied to the generation intensities above","Not applicable, as 'stored electricity' and 'other electricity sources' not selected, please move on to the next question")</f>
        <v>Please reference documents evidencing the calculation of the GHG emissions intensity of the stored electricity and/or other electricity source, and any T&amp;D losses applied to the generation intensities above</v>
      </c>
      <c r="E42" s="340"/>
      <c r="F42" s="598"/>
      <c r="G42" s="190"/>
    </row>
    <row r="43" spans="2:10" ht="16.5">
      <c r="B43" s="190"/>
      <c r="C43" s="319"/>
      <c r="D43" s="321" t="s">
        <v>178</v>
      </c>
      <c r="E43" s="356" t="str">
        <f>IFERROR((E34*AVERAGE('Typical data'!$C$108:$C$110)+E35*E39+E36*INDEX(Proj_grid_intensity_kWh,MATCH(Operations_year,Proj_grid_year,0))+E37*E40+E38*E41)/SUM(E34:E38),"Please fill in the breakdown of electricity sources and year")</f>
        <v>Please fill in the breakdown of electricity sources and year</v>
      </c>
      <c r="F43" s="597" t="s">
        <v>177</v>
      </c>
      <c r="G43" s="190"/>
      <c r="I43" s="371"/>
      <c r="J43" s="372"/>
    </row>
    <row r="44" spans="2:10">
      <c r="B44" s="190"/>
      <c r="C44" s="319"/>
      <c r="D44" s="321" t="s">
        <v>179</v>
      </c>
      <c r="E44" s="237">
        <v>0</v>
      </c>
      <c r="F44" s="597"/>
      <c r="G44" s="190"/>
      <c r="I44" s="371"/>
      <c r="J44" s="372"/>
    </row>
    <row r="45" spans="2:10">
      <c r="B45" s="190"/>
      <c r="C45" s="319"/>
      <c r="D45" s="321" t="s">
        <v>180</v>
      </c>
      <c r="E45" s="237">
        <v>0</v>
      </c>
      <c r="F45" s="597"/>
      <c r="G45" s="190"/>
      <c r="I45" s="371"/>
      <c r="J45" s="372"/>
    </row>
    <row r="46" spans="2:10">
      <c r="B46" s="190"/>
      <c r="C46" s="319"/>
      <c r="D46" s="321" t="s">
        <v>181</v>
      </c>
      <c r="E46" s="237">
        <v>0</v>
      </c>
      <c r="F46" s="597"/>
      <c r="G46" s="190"/>
      <c r="I46" s="371"/>
      <c r="J46" s="372"/>
    </row>
    <row r="47" spans="2:10" ht="30" customHeight="1">
      <c r="B47" s="190"/>
      <c r="C47" s="599"/>
      <c r="D47" s="375" t="s">
        <v>182</v>
      </c>
      <c r="E47" s="447" t="str">
        <f>IFERROR((E34+E35)/SUM(E34:E38),"Please fill in the breakdown of electricity sources")</f>
        <v>Please fill in the breakdown of electricity sources</v>
      </c>
      <c r="F47" s="217"/>
      <c r="G47" s="190"/>
      <c r="I47" s="371"/>
      <c r="J47" s="372"/>
    </row>
    <row r="48" spans="2:10" ht="34.4" customHeight="1">
      <c r="B48" s="190"/>
      <c r="C48" s="647" t="s">
        <v>183</v>
      </c>
      <c r="D48" s="647"/>
      <c r="E48" s="133"/>
      <c r="F48" s="199"/>
      <c r="G48" s="218"/>
      <c r="I48" s="371"/>
    </row>
    <row r="49" spans="2:9">
      <c r="B49" s="190"/>
      <c r="C49" s="655" t="s">
        <v>184</v>
      </c>
      <c r="D49" s="655"/>
      <c r="E49" s="341"/>
      <c r="F49" s="199"/>
      <c r="G49" s="213"/>
      <c r="H49" s="190"/>
    </row>
    <row r="50" spans="2:9">
      <c r="B50" s="190"/>
      <c r="C50" s="219"/>
      <c r="D50" s="220" t="s">
        <v>185</v>
      </c>
      <c r="E50" s="237">
        <v>0</v>
      </c>
      <c r="F50" s="199"/>
      <c r="G50" s="665"/>
      <c r="H50" s="665"/>
      <c r="I50" s="311"/>
    </row>
    <row r="51" spans="2:9">
      <c r="B51" s="190"/>
      <c r="C51" s="219"/>
      <c r="D51" s="220" t="s">
        <v>186</v>
      </c>
      <c r="E51" s="237">
        <v>0</v>
      </c>
      <c r="F51" s="199"/>
      <c r="G51" s="538"/>
      <c r="H51" s="538"/>
      <c r="I51" s="311"/>
    </row>
    <row r="52" spans="2:9">
      <c r="B52" s="190"/>
      <c r="C52" s="219"/>
      <c r="D52" s="220" t="s">
        <v>187</v>
      </c>
      <c r="E52" s="237">
        <v>0</v>
      </c>
      <c r="F52" s="199"/>
      <c r="G52" s="538"/>
      <c r="H52" s="538"/>
      <c r="I52" s="311"/>
    </row>
    <row r="53" spans="2:9">
      <c r="B53" s="190"/>
      <c r="C53" s="219"/>
      <c r="D53" s="220" t="s">
        <v>188</v>
      </c>
      <c r="E53" s="237">
        <v>0</v>
      </c>
      <c r="F53" s="199"/>
      <c r="G53" s="665"/>
      <c r="H53" s="665"/>
    </row>
    <row r="54" spans="2:9">
      <c r="B54" s="190"/>
      <c r="C54" s="219"/>
      <c r="D54" s="220" t="s">
        <v>189</v>
      </c>
      <c r="E54" s="237">
        <v>0</v>
      </c>
      <c r="F54" s="199"/>
      <c r="G54" s="213"/>
      <c r="H54" s="218"/>
    </row>
    <row r="55" spans="2:9">
      <c r="B55" s="190"/>
      <c r="C55" s="219"/>
      <c r="D55" s="220" t="s">
        <v>190</v>
      </c>
      <c r="E55" s="237">
        <v>0</v>
      </c>
      <c r="F55" s="199"/>
      <c r="G55" s="213"/>
      <c r="H55" s="218"/>
    </row>
    <row r="56" spans="2:9">
      <c r="B56" s="190"/>
      <c r="C56" s="219"/>
      <c r="D56" s="220" t="s">
        <v>191</v>
      </c>
      <c r="E56" s="237">
        <v>0</v>
      </c>
      <c r="F56" s="199"/>
      <c r="G56" s="213"/>
      <c r="H56" s="218"/>
    </row>
    <row r="57" spans="2:9">
      <c r="B57" s="190"/>
      <c r="C57" s="219"/>
      <c r="D57" s="220" t="s">
        <v>192</v>
      </c>
      <c r="E57" s="237">
        <v>0</v>
      </c>
      <c r="F57" s="199"/>
      <c r="G57" s="213"/>
      <c r="H57" s="218"/>
    </row>
    <row r="58" spans="2:9">
      <c r="B58" s="190"/>
      <c r="C58" s="219"/>
      <c r="D58" s="220" t="s">
        <v>193</v>
      </c>
      <c r="E58" s="237">
        <v>0</v>
      </c>
      <c r="F58" s="199"/>
      <c r="G58" s="213"/>
      <c r="H58" s="218"/>
    </row>
    <row r="59" spans="2:9">
      <c r="B59" s="190"/>
      <c r="C59" s="219"/>
      <c r="D59" s="220" t="s">
        <v>194</v>
      </c>
      <c r="E59" s="342" t="str">
        <f>IF(SUM(E50:E58)&lt;&gt;100%,"Error: Does not add to 100%",SUM(E50:E58))</f>
        <v>Error: Does not add to 100%</v>
      </c>
      <c r="F59" s="199"/>
      <c r="G59" s="213"/>
      <c r="H59" s="218"/>
    </row>
    <row r="60" spans="2:9" ht="33.65" customHeight="1">
      <c r="B60" s="190"/>
      <c r="C60" s="661" t="s">
        <v>195</v>
      </c>
      <c r="D60" s="661"/>
      <c r="E60" s="237"/>
      <c r="F60" s="200"/>
      <c r="G60" s="218"/>
    </row>
    <row r="61" spans="2:9">
      <c r="B61" s="190"/>
      <c r="C61" s="190"/>
      <c r="D61" s="190"/>
      <c r="E61" s="221"/>
      <c r="F61" s="190"/>
      <c r="G61" s="190"/>
    </row>
    <row r="62" spans="2:9" ht="15.5">
      <c r="B62" s="653" t="str" cm="1">
        <f t="array" ref="B62">IF(OR(Path=Units!$B$124:$B$125), "Only relevant if using biomass to generate electrolysis input power", IF(OR(Path=Units!$B$131:$B$136,Path=Units!$B$139),"", IF(OR(Path=Units!$B$137:$B$138), "Only relevant if using biomass wastes from agriculture, aquaculture, fisheries or forestry", "Likely not relevant to your project - please move on to the next section")))</f>
        <v>Likely not relevant to your project - please move on to the next section</v>
      </c>
      <c r="C62" s="209" t="str" cm="1">
        <f t="array" ref="C62">IF(OR(Path=Units!$B$124:$B$125, Path=Units!$B$131:$B$139),"Biomass feedstocks", "Not applicable, as biomass not a feedstock, please move on to the next section")</f>
        <v>Not applicable, as biomass not a feedstock, please move on to the next section</v>
      </c>
      <c r="D62" s="210"/>
      <c r="E62" s="215"/>
      <c r="F62" s="211"/>
      <c r="G62" s="190"/>
    </row>
    <row r="63" spans="2:9">
      <c r="B63" s="653"/>
      <c r="C63" s="648" t="str" cm="1">
        <f t="array" ref="C63">IF(OR(Path=Units!$B$124:$B$125), "If biomass feedstock is used to generate electrolysis input power, does it meet the land criteria in the Low Carbon Hydrogen Standard? (see Annex D, Table 8 of the LCHS for applicable categories)", IF(OR(Path=Units!$B$131:$B$139),"If using biomass feedstock, does it meet the land criteria set out in the Low Carbon Hydrogen Standard? (see Annex D, Table 8 of the LCHS for applicable categories)", "Not applicable, please move on to the next section"))</f>
        <v>Not applicable, please move on to the next section</v>
      </c>
      <c r="D63" s="648"/>
      <c r="E63" s="144"/>
      <c r="F63" s="199"/>
      <c r="G63" s="190"/>
    </row>
    <row r="64" spans="2:9">
      <c r="B64" s="653"/>
      <c r="C64" s="648" t="str" cm="1">
        <f t="array" ref="C64">IF(OR(Path=Units!$B$124:$B$125), "If biomass feedstock is used to generate electrolysis input power, does it meet the forest criteria in the Low Carbon Hydrogen Standard? (see Annex D, Table 8 of the LCHS for applicable categories)", IF(OR(E21=Units!B131:B139),"If using biomass feedstock, does it meet the forest criteria set out in the Low Carbon Hydrogen Standard? (see Annex D, Table 8 of the LCHS for applicable categories)","Not applicable, please move on to the next section"))</f>
        <v>Not applicable, please move on to the next section</v>
      </c>
      <c r="D64" s="648"/>
      <c r="E64" s="144"/>
      <c r="F64" s="199"/>
      <c r="G64" s="190"/>
    </row>
    <row r="65" spans="2:8">
      <c r="B65" s="653"/>
      <c r="C65" s="648" t="str" cm="1">
        <f t="array" ref="C65">IF(OR(Path=Units!$B$124:$B$125), "If biomass feedstock is used to generate electrolysis input power, does it meet the soil carbon criteria in the Low Carbon Hydrogen Standard? (see Annex D, Table 8 of the LCHS for applicable categories)", IF(OR(E21=Units!B131:B139),"If using biomass feedstock, does it meet the soil carbon criteria set out in the Low Carbon Hydrogen Standard? (see Annex D, Table 8 of the LCHS for applicable categories)", "Not applicable, please move on to the next section"))</f>
        <v>Not applicable, please move on to the next section</v>
      </c>
      <c r="D65" s="648"/>
      <c r="E65" s="144"/>
      <c r="F65" s="199"/>
      <c r="G65" s="190"/>
    </row>
    <row r="66" spans="2:8" ht="31.9" customHeight="1">
      <c r="B66" s="653"/>
      <c r="C66" s="647" t="str" cm="1">
        <f t="array" ref="C66">IF(AND(COUNTIF(E63:E65,"Not applicable")&lt;3,OR(Path=Units!$B$124:$B$125,Path=Units!$B$131:$B$139)),"If relevant, please detail the relevant schemes, referencing and attaching the documents that evidence compliance with the land, forest and/or soil carbon criteria", "Not applicable, please move on to the next question")</f>
        <v>Not applicable, please move on to the next question</v>
      </c>
      <c r="D66" s="647"/>
      <c r="E66" s="133"/>
      <c r="F66" s="199"/>
      <c r="G66" s="190"/>
    </row>
    <row r="67" spans="2:8" ht="47.25" customHeight="1">
      <c r="B67" s="653"/>
      <c r="C67" s="647" t="str" cm="1">
        <f t="array" ref="C67">IF(OR(Path=Units!$B$124:$B$125), "If biomass feedstock is used to generate electrolysis input power, are at least 50% (by LHV energy content) of your total biogenic hydrogen consignments derived from biogenic wastes or residues? (see Guidance section 2 for classifications)." &amp; " This question applies even if the single hydrogen consignment analysed in this workbook is not derived from a waste or residue feedstock",
IF(OR(Path=Units!$B$131:$B$139), "If using biogenic feedstock(s), are at least 50% (by LHV energy content) of your total biogenic hydrogen consignments derived from biogenic wastes or residues? (see Guidance section 2 for classifications)." &amp; " This question applies even if the single hydrogen consignment analysed in this workbook is not derived from a waste or residue feedstock", "Not applicable, please move on to the next section"))</f>
        <v>Not applicable, please move on to the next section</v>
      </c>
      <c r="D67" s="647"/>
      <c r="E67" s="144"/>
      <c r="F67" s="199"/>
      <c r="G67" s="190"/>
    </row>
    <row r="68" spans="2:8">
      <c r="B68" s="653"/>
      <c r="C68" s="648" t="str" cm="1">
        <f t="array" ref="C68">IF(OR(Path=Units!$B$124:$B$125),"If using biomass crop feedstock to generate electrolysis input power, please select your feedstock group", IF(OR(Path=Units!$B$131:$B$139),"If using biomass crop feedstock, please select your feedstock group", "Not applicable, please move on to the next section"))</f>
        <v>Not applicable, please move on to the next section</v>
      </c>
      <c r="D68" s="648"/>
      <c r="E68" s="144"/>
      <c r="F68" s="199"/>
      <c r="G68" s="190"/>
    </row>
    <row r="69" spans="2:8" ht="16.5">
      <c r="B69" s="653"/>
      <c r="C69" s="648" t="str" cm="1">
        <f t="array" ref="C69">IF(E68="Not applicable", "Not applicable, please move on to the next section", IF(OR(Path=Units!$B$124:$B$125),"If using biomass crop feedstock to generate electrolysis input power, please provide your projected whole chain efficiency", IF(OR(Path=Units!$B$131:$B$139),"If using biomass crop feedstock, please provide your projected whole chain efficiency", "Not applicable, please move on to the next section")))</f>
        <v>Not applicable, please move on to the next section</v>
      </c>
      <c r="D69" s="648"/>
      <c r="E69" s="237"/>
      <c r="F69" s="199" t="s">
        <v>196</v>
      </c>
      <c r="G69" s="190"/>
    </row>
    <row r="70" spans="2:8" ht="30" customHeight="1">
      <c r="B70" s="653"/>
      <c r="C70" s="661" t="str" cm="1">
        <f t="array" ref="C70">IF(E68="Not applicable", "Not applicable, please move on to the next section", IF(OR(Path=Units!$B$124:$B$125),"If using biomass crop feedstock to generate electrolysis input power, the following value is the resulting associated ILUC (Indirect Land Use Change) emissions"&amp;", for reporting separately to those GHG emissions in scope of the Standard (calculated in the Dashboard worksheet)", IF(OR(Path=Units!$B$131:$B$139),"The following value is the resulting associated ILUC (Indirect Land Use Change) emissions, for reporting separately to those GHG emissions in scope of the Standard (calculated in the Dashboard worksheet).", "Not applicable, please move on to the next section")))</f>
        <v>Not applicable, please move on to the next section</v>
      </c>
      <c r="D70" s="661"/>
      <c r="E70" s="441" t="str">
        <f>IFERROR(INDEX(Units!C112:C116, MATCH(E68,Units!B112:B116,0))/E69,"")</f>
        <v/>
      </c>
      <c r="F70" s="200" t="s">
        <v>197</v>
      </c>
      <c r="G70" s="190"/>
    </row>
    <row r="71" spans="2:8">
      <c r="B71" s="190"/>
      <c r="C71" s="649"/>
      <c r="D71" s="649"/>
      <c r="E71" s="212"/>
      <c r="F71" s="213"/>
      <c r="G71" s="190"/>
    </row>
    <row r="72" spans="2:8" ht="15.5">
      <c r="B72" s="653" t="str" cm="1">
        <f t="array" ref="B72">IF(OR(E21=Units!B126:B129,E21=Units!B139),"","Likely not relevant to your project - please move on to the next section")</f>
        <v>Likely not relevant to your project - please move on to the next section</v>
      </c>
      <c r="C72" s="656" t="str" cm="1">
        <f t="array" ref="C72">IF(OR(E21=Units!B126:B129,E21=Units!B139),"Fossil natural gas", "Not applicable, as fossil natural gas not a feedstock, please move on to the next section")</f>
        <v>Not applicable, as fossil natural gas not a feedstock, please move on to the next section</v>
      </c>
      <c r="D72" s="656"/>
      <c r="E72" s="222"/>
      <c r="F72" s="223"/>
      <c r="G72" s="190"/>
    </row>
    <row r="73" spans="2:8" ht="15" customHeight="1">
      <c r="B73" s="653"/>
      <c r="C73" s="655" t="str">
        <f>IF(OR(E21=Units!B126,E21=Units!B127,E21=Units!B128, E21=Units!B129, E21=Units!B139),"If using fossil natural gas, please indicate if the hydrogen production plant will be connected to the UK gas grid.","Not applicable, as fossil natural gas not a feedstock, please move on to the next section")</f>
        <v>Not applicable, as fossil natural gas not a feedstock, please move on to the next section</v>
      </c>
      <c r="D73" s="655"/>
      <c r="E73" s="236"/>
      <c r="F73" s="199"/>
      <c r="G73" s="224"/>
    </row>
    <row r="74" spans="2:8" ht="79" customHeight="1">
      <c r="B74" s="653"/>
      <c r="C74" s="374"/>
      <c r="D74" s="435" t="str" cm="1">
        <f t="array" ref="D74">IF(AND(E73=Units!$H$123,OR(E21=Units!$B$126:$B$129,E21=Units!$B$139)),"If using fossil natural gas without a direct connection to the gas grid, please outline the import route and contractual arrangement with a fossil natural gas production facility or foreign national grid emissions average.", "Not applicable, as either fossil natural gas not a feedstock or plant is connected to UK gas grid, please move on to the next section")</f>
        <v>Not applicable, as either fossil natural gas not a feedstock or plant is connected to UK gas grid, please move on to the next section</v>
      </c>
      <c r="E74" s="133"/>
      <c r="F74" s="199"/>
      <c r="G74" s="224"/>
    </row>
    <row r="75" spans="2:8" ht="15.5">
      <c r="B75" s="352"/>
      <c r="C75" s="652"/>
      <c r="D75" s="652"/>
      <c r="E75" s="349"/>
      <c r="F75" s="351"/>
      <c r="G75" s="224"/>
    </row>
    <row r="76" spans="2:8" ht="15.5">
      <c r="B76" s="653" t="str" cm="1">
        <f t="array" ref="B76">IF(OR(Path=Units!$B$124:$B$125),"Only relevant if using biomethane to generate electrolysis input power",IF(OR(E21=Units!B131:B134,E21=Units!B139),"","Likely not relevant to your project - please move on to the next section"))</f>
        <v>Likely not relevant to your project - please move on to the next section</v>
      </c>
      <c r="C76" s="651" t="str" cm="1">
        <f t="array" ref="C76">IF(OR(E21=Units!$B$124:$B$125,E21=Units!B131:B134,E21=Units!B139),"Biomethane","Not applicable, as biomethane not an intermediate feedstock, please move on to the next section")</f>
        <v>Not applicable, as biomethane not an intermediate feedstock, please move on to the next section</v>
      </c>
      <c r="D76" s="651"/>
      <c r="E76" s="222"/>
      <c r="F76" s="350"/>
      <c r="G76" s="190"/>
    </row>
    <row r="77" spans="2:8" ht="15.65" customHeight="1">
      <c r="B77" s="653"/>
      <c r="C77" s="648" t="str" cm="1">
        <f t="array" ref="C77">IF(OR(E21=Units!$B$124:$B$125,E21=Units!B131,E21=Units!B132,E21=Units!B133,E21=Units!B134,E21=Units!B139),"If using biomethane, please indicate the means of biomethane transportation", "Not applicable, as biomethane not an intermediate feedstock, please move on to the next section")</f>
        <v>Not applicable, as biomethane not an intermediate feedstock, please move on to the next section</v>
      </c>
      <c r="D77" s="648"/>
      <c r="E77" s="144"/>
      <c r="F77" s="199"/>
      <c r="G77" s="224"/>
    </row>
    <row r="78" spans="2:8" ht="66.650000000000006" customHeight="1">
      <c r="B78" s="653"/>
      <c r="C78" s="348"/>
      <c r="D78" s="225" t="str" cm="1">
        <f t="array" ref="D78">IF(E77=Units!$Q$125, "Not applicable, as biomethane is not an intermediate feedstock, please move on to the next section", IF(OR(Path=Units!$B$124:$B$125,Path=Units!$B$131:$B$134,Path=Units!B139),"Please give details of the route and means of transport between the point of biomethane production and input into the hydrogen production plant. Where relevant, please provide details of the commercial arrangements in place to ensure the supply", "Not applicable, as biomethane is not an intermediate feedstock, please move on to the next section"))</f>
        <v>Not applicable, as biomethane is not an intermediate feedstock, please move on to the next section</v>
      </c>
      <c r="E78" s="133"/>
      <c r="F78" s="200"/>
      <c r="G78" s="224"/>
      <c r="H78" s="549"/>
    </row>
    <row r="79" spans="2:8">
      <c r="B79" s="190"/>
      <c r="C79" s="654"/>
      <c r="D79" s="654"/>
      <c r="E79" s="206"/>
      <c r="F79" s="202"/>
      <c r="G79" s="224"/>
    </row>
    <row r="80" spans="2:8" ht="15.5">
      <c r="B80" s="190"/>
      <c r="C80" s="656" t="s">
        <v>198</v>
      </c>
      <c r="D80" s="656"/>
      <c r="E80" s="207"/>
      <c r="F80" s="205"/>
      <c r="G80" s="224"/>
    </row>
    <row r="81" spans="2:10">
      <c r="B81" s="190"/>
      <c r="C81" s="655" t="s">
        <v>199</v>
      </c>
      <c r="D81" s="655"/>
      <c r="E81" s="238"/>
      <c r="F81" s="199" t="s">
        <v>200</v>
      </c>
      <c r="G81" s="190"/>
    </row>
    <row r="82" spans="2:10" ht="30" customHeight="1">
      <c r="B82" s="190"/>
      <c r="C82" s="658" t="s">
        <v>201</v>
      </c>
      <c r="D82" s="659"/>
      <c r="E82" s="238"/>
      <c r="F82" s="472" t="s">
        <v>202</v>
      </c>
      <c r="G82" s="224"/>
    </row>
    <row r="83" spans="2:10">
      <c r="B83" s="190"/>
      <c r="C83" s="655" t="s">
        <v>203</v>
      </c>
      <c r="D83" s="657"/>
      <c r="E83" s="238"/>
      <c r="F83" s="472" t="s">
        <v>202</v>
      </c>
      <c r="G83" s="224"/>
    </row>
    <row r="84" spans="2:10">
      <c r="B84" s="190"/>
      <c r="C84" s="655" t="s">
        <v>204</v>
      </c>
      <c r="D84" s="655"/>
      <c r="E84" s="238"/>
      <c r="F84" s="199" t="s">
        <v>205</v>
      </c>
      <c r="G84" s="190"/>
      <c r="H84" s="549"/>
    </row>
    <row r="85" spans="2:10">
      <c r="B85" s="190"/>
      <c r="C85" s="655" t="s">
        <v>206</v>
      </c>
      <c r="D85" s="655"/>
      <c r="E85" s="239"/>
      <c r="F85" s="199" t="s">
        <v>207</v>
      </c>
      <c r="G85" s="190"/>
      <c r="H85" s="549"/>
      <c r="I85" s="311"/>
      <c r="J85" s="311"/>
    </row>
    <row r="86" spans="2:10">
      <c r="B86" s="190"/>
      <c r="C86" s="655" t="s">
        <v>208</v>
      </c>
      <c r="D86" s="655"/>
      <c r="E86" s="266"/>
      <c r="F86" s="226" t="s">
        <v>209</v>
      </c>
      <c r="G86" s="190"/>
    </row>
    <row r="87" spans="2:10" ht="30" customHeight="1">
      <c r="B87" s="190"/>
      <c r="C87" s="647" t="s">
        <v>210</v>
      </c>
      <c r="D87" s="647"/>
      <c r="E87" s="240"/>
      <c r="F87" s="199"/>
      <c r="G87" s="190"/>
    </row>
    <row r="88" spans="2:10" ht="14.5" customHeight="1">
      <c r="B88" s="190"/>
      <c r="C88" s="216"/>
      <c r="D88" s="547" t="str">
        <f>IF(OR(E87="Other",E87=""),"If you have selected Other, please specify the expected source of this electricity, and enter the GHG intensity in the row below", "Not applicable, as 'Other' electricity source not selected, please move on to the next question")</f>
        <v>If you have selected Other, please specify the expected source of this electricity, and enter the GHG intensity in the row below</v>
      </c>
      <c r="E88" s="241"/>
      <c r="F88" s="199"/>
      <c r="G88" s="190"/>
      <c r="H88" s="549"/>
    </row>
    <row r="89" spans="2:10" ht="16.5">
      <c r="B89" s="190"/>
      <c r="C89" s="216"/>
      <c r="D89" s="548" t="str">
        <f>IF(OR(E87="Not applicable"),"Not applicable, please move on to the next question.", "Expected annual average GHG emissions intensity of any electricity used for theoretical compression/purification in the relevant calendar year of operations")</f>
        <v>Expected annual average GHG emissions intensity of any electricity used for theoretical compression/purification in the relevant calendar year of operations</v>
      </c>
      <c r="E89" s="471" t="str">
        <f>IF(E87="Grid electricity",IFERROR(INDEX(Proj_grid_intensity_kWh,MATCH(Operations_year,Proj_grid_year,0)),"Yet to provide year"),IF(E87="Wind/solar electricity",AVERAGE('Typical data'!$C$108:$C$110),IF(E87="Nuclear electricity",E39,IF(E87="Other","Input annual average GHG emissions intensity",IF(E87="Electricity input mix as above",$E$43,IF(E87="Not applicable", "","Yet to provide electricity source"))))))</f>
        <v>Yet to provide electricity source</v>
      </c>
      <c r="F89" s="217" t="s">
        <v>177</v>
      </c>
      <c r="G89" s="190"/>
    </row>
    <row r="90" spans="2:10">
      <c r="B90" s="190"/>
      <c r="C90" s="662" t="s">
        <v>211</v>
      </c>
      <c r="D90" s="662"/>
      <c r="E90" s="144"/>
      <c r="F90" s="200"/>
      <c r="G90" s="190"/>
    </row>
    <row r="91" spans="2:10">
      <c r="B91" s="190"/>
      <c r="C91" s="654"/>
      <c r="D91" s="654"/>
      <c r="E91" s="208"/>
      <c r="F91" s="227"/>
      <c r="G91" s="190"/>
    </row>
    <row r="92" spans="2:10" ht="15.5">
      <c r="B92" s="660" t="str" cm="1">
        <f t="array" ref="B92">IF(OR(E21=Units!B126:B131,E21=Units!B133,E21=Units!B135,E21=Units!B137,E21=Units!B139),"",IF(OR(E21=Units!B124:B125),"Only relevant if using CCS to generate electrolysis input power","Likely not relevant to your project - please move on to the next section"))</f>
        <v>Likely not relevant to your project - please move on to the next section</v>
      </c>
      <c r="C92" s="203" t="str" cm="1">
        <f t="array" ref="C92">IF(OR(Path=Units!B124:B131,Path=Units!B133,Path=Units!B135,Path=Units!B137,Path=Units!B139),"CO2 capture", "Not applicable, as no carbon capture, please move onto next section")</f>
        <v>Not applicable, as no carbon capture, please move onto next section</v>
      </c>
      <c r="D92" s="204"/>
      <c r="E92" s="215"/>
      <c r="F92" s="228"/>
      <c r="G92" s="190"/>
    </row>
    <row r="93" spans="2:10">
      <c r="B93" s="660"/>
      <c r="C93" s="647" t="str" cm="1">
        <f t="array" ref="C93">IF(OR(Path=Units!B124:B131,Path=Units!B133,Path=Units!B135,Path=Units!B137, Path=Units!B139),"If using CO2 capture, what is the annual average CO2 capture rate of the plant as a % of all CO2 generated onsite in the relevant year?","Not applicable, please move on to the next section")</f>
        <v>Not applicable, please move on to the next section</v>
      </c>
      <c r="D93" s="647"/>
      <c r="E93" s="237"/>
      <c r="F93" s="229"/>
      <c r="G93" s="190"/>
      <c r="H93" s="549"/>
    </row>
    <row r="94" spans="2:10">
      <c r="B94" s="660"/>
      <c r="C94" s="647" t="str" cm="1">
        <f t="array" ref="C94">IF(OR(Path=Units!B124:B131,Path=Units!B133,Path=Units!B135,Path=Units!B137, Path=Units!B139),"If using CO2 capture, what is the projected peak CO2 capture rate of the plant as a % of all CO2 generated onsite in the relevant year?", "Not applicable, please move on to the next section")</f>
        <v>Not applicable, please move on to the next section</v>
      </c>
      <c r="D94" s="647"/>
      <c r="E94" s="237"/>
      <c r="F94" s="229"/>
      <c r="G94" s="190"/>
    </row>
    <row r="95" spans="2:10">
      <c r="B95" s="660"/>
      <c r="C95" s="648" t="str" cm="1">
        <f t="array" ref="C95">IF(OR(Path=Units!B124:B131,Path=Units!B133,Path=Units!B135,Path=Units!B137,Path=Units!B139),"If using CO2 capture, what happens to the CO2?","Not applicable, please move on to the next section")</f>
        <v>Not applicable, please move on to the next section</v>
      </c>
      <c r="D95" s="648"/>
      <c r="E95" s="144"/>
      <c r="F95" s="199"/>
      <c r="G95" s="190"/>
    </row>
    <row r="96" spans="2:10" ht="31" customHeight="1">
      <c r="B96" s="660"/>
      <c r="C96" s="230"/>
      <c r="D96" s="550" t="str" cm="1">
        <f t="array" ref="D96">IF(E95="Not applicable", "Not applicable, please move on to the next question",
IF(AND(OR(E95=Units!I120),OR(Path=Units!B124:B131,Path=Units!B133,Path=Units!B135,Path=Units!B137,Path=Units!B139)),"Please give further details of the CO2 transportation and sequestration, including the CO2 storage location (if known)",
IF(AND(OR(E95=Units!I121),OR(Path=Units!B124:B131,Path=Units!B133,Path=Units!B135,Path=Units!B137,Path=Units!B139)),"Please give further details of the CO2 transportation and utilisation, including where the CO2 will be used",
IF(AND(OR(E95=Units!I122),OR(Path=Units!B124:B131,Path=Units!B133,Path=Units!B135,Path=Units!B137,Path=Units!B139)),"Please give the % that will be permanently sequestered vs utilised. Please give further details of the CO2 transportation and sequestration, including the CO2 storage location (if known), and details of the utilisation and where the CO2 will be used",
IF(AND(OR(E95=Units!I123),OR(Path=Units!B124:B131,Path=Units!B133,Path=Units!B135,Path=Units!B137,Path=Units!B139)),"Please give details of the other use of the CO2, if it is not utilised or sequestered",
"Not applicable, please move on to the next section")))))</f>
        <v>Not applicable, please move on to the next section</v>
      </c>
      <c r="E96" s="133"/>
      <c r="F96" s="199"/>
      <c r="G96" s="190"/>
    </row>
    <row r="97" spans="2:9">
      <c r="B97" s="660"/>
      <c r="C97" s="647" t="str" cm="1">
        <f t="array" ref="C97">IF(OR(Path=Units!B124:B131,Path=Units!B133,Path=Units!B135,Path=Units!B137,Path=Units!B139),"If using CO2 capture, please provide references to documents that evidence engagement/arrangements with the CO2 Transport &amp; Storage networks. Please attach any evidence to support this.","Not applicable, please move on to the next section")</f>
        <v>Not applicable, please move on to the next section</v>
      </c>
      <c r="D97" s="649"/>
      <c r="E97" s="133"/>
      <c r="F97" s="199"/>
      <c r="G97" s="190"/>
    </row>
    <row r="98" spans="2:9">
      <c r="B98" s="660"/>
      <c r="C98" s="647" t="str" cm="1">
        <f t="array" ref="C98">IF(OR(Path=Units!B124:B131,Path=Units!B133,Path=Units!B135,Path=Units!B137, Path=Units!B139),"If using CO2 capture, please confirm that emissions accounted for via sequestration are NOT credited or claimed elsewhere (e.g. carbon credits)","Not applicable, please move on to the next section")</f>
        <v>Not applicable, please move on to the next section</v>
      </c>
      <c r="D98" s="647"/>
      <c r="E98" s="144"/>
      <c r="F98" s="199"/>
      <c r="G98" s="190"/>
    </row>
    <row r="99" spans="2:9">
      <c r="B99" s="660"/>
      <c r="C99" s="650" t="str" cm="1">
        <f t="array" ref="C99">IF(OR(Path=Units!B124:B131,Path=Units!B133,Path=Units!B135,Path=Units!B137,Path=Units!B139),"If generating solid carbon, please confirm that offsets are NOT used in any part of the emissions projections","Not applicable, please move on to the next section")</f>
        <v>Not applicable, please move on to the next section</v>
      </c>
      <c r="D99" s="650"/>
      <c r="E99" s="144"/>
      <c r="F99" s="200"/>
      <c r="G99" s="190"/>
    </row>
    <row r="100" spans="2:9">
      <c r="B100" s="190"/>
      <c r="C100" s="654"/>
      <c r="D100" s="654"/>
      <c r="E100" s="208"/>
      <c r="F100" s="227"/>
      <c r="G100" s="190"/>
    </row>
    <row r="101" spans="2:9" ht="15.5">
      <c r="B101" s="660" t="str">
        <f>IF(OR(E21=Units!B129,E21=Units!B139),"","Likely not relevant to your project - please move on to the next section")</f>
        <v>Likely not relevant to your project - please move on to the next section</v>
      </c>
      <c r="C101" s="203" t="str">
        <f>IF(OR(Path=Units!B129,Path=Units!B139),"Solid carbon output", "Not applicable, as no solid carbon produced, please move onto next section")</f>
        <v>Not applicable, as no solid carbon produced, please move onto next section</v>
      </c>
      <c r="D101" s="204"/>
      <c r="E101" s="215"/>
      <c r="F101" s="228"/>
      <c r="G101" s="190"/>
    </row>
    <row r="102" spans="2:9">
      <c r="B102" s="660"/>
      <c r="C102" s="647" t="str">
        <f>IF(OR(Path=Units!B129,Path=Units!B139),"If generating solid carbon, what is the conversion rate of the feedstock carbon into solid carbon in the relevant year (tonnes C/tonnes feedstock C)?","Not applicable, please move on to the next section")</f>
        <v>Not applicable, please move on to the next section</v>
      </c>
      <c r="D102" s="647"/>
      <c r="E102" s="237"/>
      <c r="F102" s="229"/>
      <c r="G102" s="190"/>
      <c r="H102" s="549"/>
    </row>
    <row r="103" spans="2:9">
      <c r="B103" s="660"/>
      <c r="C103" s="647" t="str">
        <f>IF(OR(Path=Units!B129,Path=Units!B139),"If generating solid carbon, what is the peak conversion rate of the feedstock carbon into solid carbon in the relevant year (tonnes C/tonnes feedstock C)?", "Not applicable, please move on to the next section")</f>
        <v>Not applicable, please move on to the next section</v>
      </c>
      <c r="D103" s="647"/>
      <c r="E103" s="237"/>
      <c r="F103" s="229"/>
      <c r="G103" s="190"/>
    </row>
    <row r="104" spans="2:9">
      <c r="B104" s="660"/>
      <c r="C104" s="648" t="str">
        <f>IF(OR(Path=Units!B129,Path=Units!B139),"If producing solid carbon, what happens to the solid carbon?","Not applicable, please move on to the next section")</f>
        <v>Not applicable, please move on to the next section</v>
      </c>
      <c r="D104" s="648"/>
      <c r="E104" s="144"/>
      <c r="F104" s="199"/>
      <c r="G104" s="190"/>
    </row>
    <row r="105" spans="2:9" ht="31" customHeight="1">
      <c r="B105" s="660"/>
      <c r="C105" s="230"/>
      <c r="D105" s="550" t="str">
        <f>IF(E104="Not applicable", "Not applicable, please move on to the next question",
IF(AND(OR(E104=Units!J120,E104=Units!J121),OR(Path=Units!B129,Path=Units!B139)),"Please give further details of the solid carbon transportation and sequestration in a permissible end use, including details regarding locations and actors",
IF(AND(OR(E104=Units!J122),OR(Path=Units!B129,Path=Units!B139)), "Please give further details on the transportation and end use, location and actors, and likely ability of the end use to be able to sequester the solid carbon, and likely emissions to incorporate the solid carbon into the end use", "Not applicable, please move on to the next section")))</f>
        <v>Not applicable, please move on to the next section</v>
      </c>
      <c r="E105" s="133"/>
      <c r="F105" s="199"/>
      <c r="G105" s="190"/>
    </row>
    <row r="106" spans="2:9">
      <c r="B106" s="660"/>
      <c r="C106" s="647" t="str">
        <f>IF(OR(Path=Units!B129,Path=Units!B139),"If generating solid carbon, please provide references to documents that evidence engagement/arrangements with solid carbon offtakers. Please attach any evidence to support this.","Not applicable, please move on to the next section")</f>
        <v>Not applicable, please move on to the next section</v>
      </c>
      <c r="D106" s="649"/>
      <c r="E106" s="133"/>
      <c r="F106" s="199"/>
      <c r="G106" s="190"/>
    </row>
    <row r="107" spans="2:9">
      <c r="B107" s="660"/>
      <c r="C107" s="647" t="str">
        <f>IF(OR(Path=Units!B129,Path=Units!B139),"If generating solid carbon, please confirm that emissions accounted for via sequestration are NOT credited or claimed elsewhere (e.g. carbon credits)","Not applicable, please move on to the next section")</f>
        <v>Not applicable, please move on to the next section</v>
      </c>
      <c r="D107" s="647"/>
      <c r="E107" s="144"/>
      <c r="F107" s="199"/>
      <c r="G107" s="190"/>
    </row>
    <row r="108" spans="2:9">
      <c r="B108" s="660"/>
      <c r="C108" s="650" t="str">
        <f>IF(OR(Path=Units!B129,Path=Units!B139),"If using CO2 capture or generating solid carbon, please confirm that offsets are NOT used in any part of the emissions projections","Not applicable, please move on to the next section")</f>
        <v>Not applicable, please move on to the next section</v>
      </c>
      <c r="D108" s="650"/>
      <c r="E108" s="144"/>
      <c r="F108" s="200"/>
      <c r="G108" s="190"/>
    </row>
    <row r="109" spans="2:9">
      <c r="B109" s="190"/>
      <c r="C109" s="654"/>
      <c r="D109" s="654"/>
      <c r="E109" s="206"/>
      <c r="F109" s="202"/>
      <c r="G109" s="190"/>
    </row>
    <row r="110" spans="2:9" ht="15.5">
      <c r="B110" s="190"/>
      <c r="C110" s="203" t="s">
        <v>212</v>
      </c>
      <c r="D110" s="204"/>
      <c r="E110" s="231"/>
      <c r="F110" s="205"/>
      <c r="G110" s="190"/>
    </row>
    <row r="111" spans="2:9">
      <c r="C111" s="473" t="str" cm="1">
        <f t="array" ref="C111">IF(OR(Path=Units!$B$133:$B$134), "Is food waste the feedstock analysed at the start of your pathway in this workbook, i.e. matching the feedstock used in the DESNZ default emissions dataset?",
IF(OR(Path=Units!$B$135:$B$136), "Are forestry residues the feedstock analysed at the start of your pathway in this workbook, i.e. matching the feedstock used in the DESNZ default emissions dataset?",
IF(OR(Path=Units!$B$137:$B$138),"Is Municipal Solid Waste the feedstock analysed at the start of your pathway in this workbook, i.e. matching the feedstock used in the DESNZ default emissions dataset?",
"Not applicable, as one of the default biomass pathways not chosen, please move on to the next question")))</f>
        <v>Not applicable, as one of the default biomass pathways not chosen, please move on to the next question</v>
      </c>
      <c r="D111" s="178"/>
      <c r="E111" s="144"/>
      <c r="F111" s="472"/>
      <c r="H111" s="549"/>
    </row>
    <row r="112" spans="2:9" ht="75.75" customHeight="1">
      <c r="B112" s="190"/>
      <c r="C112" s="658" t="s">
        <v>213</v>
      </c>
      <c r="D112" s="658"/>
      <c r="E112" s="144"/>
      <c r="F112" s="449"/>
      <c r="G112" s="190"/>
      <c r="H112" s="615"/>
      <c r="I112" s="629"/>
    </row>
    <row r="113" spans="2:11">
      <c r="B113" s="190"/>
      <c r="C113" s="655" t="str" cm="1">
        <f t="array" ref="C113">IF(OR(Path=Units!$B$120:$B$125), "Feedstock Supply is not an applicable emissions category for electrolysis pathways, please move to the next question",
IF(OR(Path=Units!$B$131:$B$132), "Feedstock Supply emissions must use projected data, as default data is not provided for the Feedstock Supply category for biomethane SMR pathways",
IF(E73=Units!$H$123, "Feedstock Supply emissions must use projected data, as feedstock is not taken from the UK gas grid",
IF(E112="Mixed", "If Mixed data selected above, please specify if the Feedstock Supply emissions data are projected or default data are used?", "Not applicable, as Mixed data not selected, please move on to the next question"))))</f>
        <v>Not applicable, as Mixed data not selected, please move on to the next question</v>
      </c>
      <c r="D113" s="654"/>
      <c r="E113" s="144"/>
      <c r="F113" s="199"/>
      <c r="G113" s="190"/>
      <c r="H113" s="615"/>
      <c r="I113" s="629"/>
    </row>
    <row r="114" spans="2:11">
      <c r="B114" s="190"/>
      <c r="C114" s="655" t="str">
        <f>IF(OR(Path=Units!$B$123,Path=Units!$B$124,AND(Path=Units!$B$125,Initial_questions!E38&gt;0)), "Energy Supply emissions must use projected data, as 'stored' or 'other' electricity sources are used",
IF(AND(E112="Mixed", Path&lt;&gt;Units!$C$122),"If Mixed data selected above, please specify if the Energy Supply emissions data are projected or default data are used?",IF(AND(E112="Mixed",Path=Units!$C$122),"Natural gas splitting producing solid carbon pathway selected, users must select Projected.", "Not applicable, as Mixed data not selected, please move on to the next question")))</f>
        <v>Not applicable, as Mixed data not selected, please move on to the next question</v>
      </c>
      <c r="D114" s="654"/>
      <c r="E114" s="144"/>
      <c r="F114" s="199"/>
      <c r="G114" s="190"/>
      <c r="H114" s="615"/>
      <c r="I114" s="629"/>
    </row>
    <row r="115" spans="2:11">
      <c r="B115" s="190"/>
      <c r="C115" s="655" t="str">
        <f>IF(AND(E112="Mixed", Path&lt;&gt;Units!$C$122),"If Mixed data selected above, please specify if the Input Materials emissions data are projected or default data are used?", IF(AND(E112="Mixed",Path=Units!$C$122),"Natural gas splitting producing solid carbon pathway selected, user must select Projected.", "Not applicable, as Mixed data not selected, please move on to the next question"))</f>
        <v>Not applicable, as Mixed data not selected, please move on to the next question</v>
      </c>
      <c r="D115" s="654"/>
      <c r="E115" s="144"/>
      <c r="F115" s="199"/>
      <c r="G115" s="190"/>
      <c r="H115" s="573"/>
    </row>
    <row r="116" spans="2:11" ht="50.15" customHeight="1">
      <c r="B116" s="190"/>
      <c r="C116" s="647" t="s">
        <v>214</v>
      </c>
      <c r="D116" s="647"/>
      <c r="E116" s="133"/>
      <c r="F116" s="199"/>
      <c r="G116" s="190"/>
      <c r="H116" s="560"/>
      <c r="J116" s="566"/>
      <c r="K116" s="566"/>
    </row>
    <row r="117" spans="2:11" ht="53.5" customHeight="1">
      <c r="B117" s="190"/>
      <c r="C117" s="661" t="s">
        <v>215</v>
      </c>
      <c r="D117" s="661"/>
      <c r="E117" s="133"/>
      <c r="F117" s="200"/>
      <c r="G117" s="190"/>
      <c r="J117" s="566"/>
      <c r="K117" s="566"/>
    </row>
    <row r="118" spans="2:11">
      <c r="B118" s="190"/>
      <c r="C118" s="232"/>
      <c r="D118" s="232"/>
      <c r="E118" s="343"/>
      <c r="F118" s="232"/>
      <c r="G118" s="190"/>
      <c r="J118" s="566"/>
      <c r="K118" s="566"/>
    </row>
    <row r="119" spans="2:11">
      <c r="B119" s="190"/>
      <c r="C119" s="190"/>
      <c r="D119" s="190"/>
      <c r="E119" s="336"/>
      <c r="F119" s="190"/>
      <c r="G119" s="190"/>
      <c r="J119" s="566"/>
      <c r="K119" s="566"/>
    </row>
    <row r="120" spans="2:11" ht="23.5">
      <c r="C120" s="233" t="s">
        <v>216</v>
      </c>
      <c r="D120" s="190"/>
      <c r="E120" s="344"/>
      <c r="F120" s="190"/>
      <c r="G120" s="190"/>
      <c r="J120" s="566"/>
      <c r="K120" s="566"/>
    </row>
    <row r="121" spans="2:11" ht="37">
      <c r="B121" s="190"/>
      <c r="C121" s="190"/>
      <c r="D121" s="322" t="s">
        <v>217</v>
      </c>
      <c r="E121" s="344"/>
      <c r="F121" s="190"/>
      <c r="G121" s="190"/>
      <c r="I121" s="576"/>
      <c r="J121" s="566"/>
      <c r="K121" s="566"/>
    </row>
    <row r="122" spans="2:11" ht="39" customHeight="1">
      <c r="B122" s="190"/>
      <c r="C122" s="190"/>
      <c r="D122" s="235" t="str" cm="1">
        <f t="array" ref="D122">IF(OR(E21=Units!B120:B125), "2. This will bring up the Custom Views menu, as seen on the right. Please click on the Electrolysis view and press Show.",
IF(OR(E21=Units!B126:B128),"2. This will bring up the Custom Views menu, as seen on the right. Please click on the Natural gas reforming with CCS view and press Show.",
IF(E21=Units!B129,"2. This will bring up the Custom Views menu, as seen on the right. Please click on the Natural gas splitting producing solid carbon view and press Show.",
IF(E21=Units!B130,"2. This will bring up the Custom Views menu, as seen on the right. Please click on the Refinery off gas reforming with CCS view and press Show.",
IF(OR(E21=Units!B131:B134),"2. This will bring up the Custom Views menu, as seen on the right. Please click on the Biomethane reforming view and press Show.",
IF(OR(E21=Units!B135:B136),"2. This will bring up the Custom Views menu, as seen on the right. Please click on the Biomass gasification view and press Show.",
IF(OR(E21=Units!B137:B138),"2. This will bring up the Custom Views menu, as seen on the right. Please click on the Waste gasification view and press Show.",
IF(E21=Units!B139,"2. This will bring up the Custom Views menu, as seen on the right. Please click on the Other view and press Show",
"2. This will bring up the Custom Views menu, as seen on the right. Please click on the pathway relevant to your project and press Show."))))))))</f>
        <v>2. This will bring up the Custom Views menu, as seen on the right. Please click on the pathway relevant to your project and press Show.</v>
      </c>
      <c r="E122" s="336"/>
      <c r="F122" s="190"/>
      <c r="G122" s="190"/>
      <c r="J122" s="566"/>
      <c r="K122" s="566"/>
    </row>
    <row r="123" spans="2:11" ht="37">
      <c r="B123" s="190"/>
      <c r="C123" s="190"/>
      <c r="D123" s="322" t="s">
        <v>218</v>
      </c>
      <c r="E123" s="336"/>
      <c r="F123" s="190"/>
      <c r="G123" s="190"/>
      <c r="J123" s="566"/>
      <c r="K123" s="566"/>
    </row>
    <row r="124" spans="2:11" ht="38.25" customHeight="1">
      <c r="B124" s="190"/>
      <c r="C124" s="190"/>
      <c r="D124" s="235" t="str" cm="1">
        <f t="array" ref="D124">IF(AND(E21=Units!B126:B128,OR(E112:E113="Default",E73=Units!$H$120)),"4. Then, please move on to and complete the NG Reforming + CCS worksheet.",
IF(AND(E21=Units!B129,E73=Units!$H$120),"4. Then, please move on to and complete the NG Splitting + Solid Carbon worksheet.",
IF(AND(E21=Units!B131:B134,OR(E112:E113="Default")),"4. Then, please move on to and complete the Biomethane Reforming (+CCS) worksheet.",
IF(AND(E21=Units!B135:B136,OR(E112:E113="Default")),"4. Then, please move on to and complete the Biomass Gasification (+CCS) worksheet.",
IF(AND(E21=Units!B137:B138,OR(E112:E113="Default")),"4. Then, please move on to and complete the Waste Fossil Counterfactual and Waste Gasification (+CCS) worksheets.",
IF(OR(E21=Units!B120:B125),"4. Then, please move to and complete the Electrolysis worksheet.",
IF(OR(E21=Units!B126:B128),"4. Then, please move on to and complete the NG Collection worksheet as well as the following supply chain step worksheets for the Natural Gas Reforming pathway.",
IF(E21=Units!B129,"4. Then, please move on to and complete the NG Collection worksheet as well as the following supply chain step worksheets for the Natural Gas Splitting pathway.",
IF(AND(E21=Units!B130,E27=Units!L122),"4. Then, please move on to and complete the ROG Counterfactual worksheet, the ROG Processing worksheet as well as the following supply chain step worksheets for the ROG Reforming pathway.",
IF(AND(E21=Units!B130,E27=Units!L123),"4. Then, please move on to and complete the ROG Processing worksheet as well as the following supply chain step worksheets for the ROG Reforming pathway.",
IF(AND(E21=Units!B130,E27=Units!L124),"4. Then, please move on to and complete the Crude Collection worksheet as well as the following supply chain step worksheets for the ROG Reforming pathway.",
IF(OR(E21=Units!B131:B134),"4. Then, please move on to and complete the Biogas Feedstock Cultivation worksheet as well as the following supply chain step worksheets for the Biomethane Reforming pathway.",
IF(OR(E21=Units!B135:B136),"4. Then, please move on to and complete the Biomass Cultivation worksheet as well as the following supply chain step worksheets for the Biomass Gasification pathway.",
IF(OR(E21=Units!B137:B138),"4. Then, please move on to and complete the Waste Fossil Counterfactual worksheet, the Waste Collection worksheet, as well as the following supply chain step worksheets for the Waste Gasification pathway.",
IF(E21=Units!B139,"4. Then, please move on and complete the Generic Fossil Counterfactual worksheet, the Generic Feedstock Cultivation worksheet, as well as the following supply chain step worksheets for the Other pathway.",
"4. Please go back to the Technology section and select a hydrogen production pathway.")))))))))))))))</f>
        <v>4. Please go back to the Technology section and select a hydrogen production pathway.</v>
      </c>
      <c r="E124" s="336"/>
      <c r="F124" s="190"/>
      <c r="G124" s="190"/>
      <c r="J124" s="566"/>
      <c r="K124" s="566"/>
    </row>
    <row r="125" spans="2:11" ht="18.5">
      <c r="B125" s="190"/>
      <c r="C125" s="190"/>
      <c r="D125" s="235" t="str" cm="1">
        <f t="array" ref="D125">IF(OR(E21=Units!B120:B125),"5. Afterwards, please check the result in the GHG Electrolysis worksheet.",
IF(OR(E21=Units!B126:B128),"5. Afterwards, please check the result in the GHG NG Reform + CCS worksheet.",
IF(E21=Units!B129,"5. Afterwards, please check the result in the GHG NG Splitting + Solid Carbon worksheet.",
IF(E21=Units!B130,"5. Afterwards, please check the result in the GHG ROG Reform + CCS worksheet.",
IF(OR(E21=Units!B131:B134),"5. Afterwards, please check the result in the GHG Biomethane Reform worksheet.",
IF(OR(E21=Units!B135:B136),"5. Afterwards, please check the result in the GHG Biomass Gasification worksheet.",
IF(OR(E21=Units!B137:B138),"5. Afterwards, please check the result in the GHG Waste Gasification worksheet.",
IF(E21=Units!B139,"5. Afterwards, please check the result in the GHG Generic Other worksheet.",
""))))))))</f>
        <v/>
      </c>
      <c r="E125" s="336"/>
      <c r="F125" s="190"/>
      <c r="G125" s="190"/>
      <c r="J125" s="566"/>
      <c r="K125" s="566"/>
    </row>
    <row r="126" spans="2:11" ht="18.5">
      <c r="B126" s="190"/>
      <c r="C126" s="190"/>
      <c r="D126" s="235" t="str">
        <f>IF(D125="", "","6. Finally, check the Dashboard workbook that you have completed all required fields, and input any other consignment results calculated in other workbooks and their weighted shares to calculate an overall weighted average GHG emissions result.")</f>
        <v/>
      </c>
      <c r="E126" s="336"/>
      <c r="F126" s="190"/>
      <c r="G126" s="190"/>
      <c r="J126" s="566"/>
      <c r="K126" s="566"/>
    </row>
    <row r="127" spans="2:11" ht="23.5">
      <c r="B127" s="190"/>
      <c r="C127" s="233" t="s">
        <v>219</v>
      </c>
      <c r="D127" s="190"/>
      <c r="E127" s="336"/>
      <c r="F127" s="190"/>
      <c r="G127" s="190"/>
      <c r="J127" s="566"/>
      <c r="K127" s="566"/>
    </row>
    <row r="128" spans="2:11" ht="23.5">
      <c r="B128" s="190"/>
      <c r="C128" s="233"/>
      <c r="D128" s="234" t="s">
        <v>220</v>
      </c>
      <c r="E128" s="336"/>
      <c r="F128" s="190"/>
      <c r="G128" s="190"/>
      <c r="J128" s="566"/>
      <c r="K128" s="566"/>
    </row>
    <row r="129" spans="2:11" ht="20.5" customHeight="1">
      <c r="B129" s="190"/>
      <c r="C129" s="233"/>
      <c r="D129" s="451" t="str" cm="1">
        <f t="array" aca="1" ref="D129" ca="1">HYPERLINK(CELL("address",System_Boundary!A1), "System Boundary worksheet")</f>
        <v>System Boundary worksheet</v>
      </c>
      <c r="E129" s="336"/>
      <c r="F129" s="190"/>
      <c r="G129" s="190"/>
      <c r="J129" s="566"/>
      <c r="K129" s="566"/>
    </row>
    <row r="130" spans="2:11" ht="25.9" customHeight="1">
      <c r="C130" s="190"/>
      <c r="D130" s="234" t="str" cm="1">
        <f t="array" ref="D130">IF(AND(E21=Units!B126:B128,OR(E112:E113="Default")),"2. Then, please move on to and complete the NG Reforming + CCS worksheet via the link below.",
IF(AND(E21=Units!B129,OR(OR(E112:E113="Default"),E73=Units!$H$120)),"2. Then, please move on to and complete the NG Splitting + Solid Carbon worksheet via the link below.",
IF(AND(E21=Units!B131:B134,OR(E112:E113="Default")),"2. Then, please move on to and complete the Biomethane Reforming (+CCS) worksheet via the link below.",
IF(AND(E21=Units!B135:B136,OR(E112:E113="Default")),"2. Then, please move on to and complete the Biomass Gasification (+CCS) worksheet via the link below.",
IF(AND(E21=Units!B137:B138,OR(E112:E113="Default")),"2. Then, please move on to and complete both the Waste Fossil Counterfactual and Waste Gasification (+CCS) worksheets via the links below.",
IF(OR(E21=Units!B120:B125),"2. Then, please complete the Electrolysis worksheet via the link below.",
IF(OR(E21=Units!B126:B128),"2. Then, please complete the NG Collection worksheet via the link below, as well as the sequential supply chain step worksheets for the NG Reforming pathway.",
IF(E21=Units!B129,"2. Then, please move complete the NG Collection worksheet via the link below, as well as the sequential supply chain step worksheets for the NG Splitting pathway.",
IF(AND(E21=Units!B130,E27=Units!L122),"2. Then, please move on to and complete the ROG Counterfactual worksheet and the ROG Processing worksheet via the links below, as well as the sequential supply chain step worksheets for the ROG Reforming pathway",
IF(AND(E21=Units!B130,E27=Units!L123),"2. Then, please move on to and complete the ROG Processing worksheet via the link below, as well as the sequential supply chain step worksheets for the ROG Reforming pathway",
IF(AND(E21=Units!B130,E27=Units!L124),"2. Then, please move on to and complete the Crude Collection worksheet via the link below, as well as the sequential supply chain step worksheets for the ROG Reforming pathway",
IF(E21=Units!B130,"2. Then, please move on to and complete the ROG Counterfactual worksheet via the link below, as well as the sequential supply chain step worksheets for the ROG Reforming pathway",
IF(OR(E21=Units!B131:B134),"2. Then, please complete the Biogas Feedstock Cultivation worksheet via the link below, as well as the sequential supply chain step worksheets for the Biomethane Reforming pathway.",
IF(OR(E21=Units!B135:B136),"2. Then, please complete the Biomass Cultivation worksheet via the link below, as well as the sequential supply chain step worksheets for the Biomass Gasification pathway.",
IF(OR(E21=Units!B137:B138),"2. Then, please complete the Waste Fossil Counterfactual worksheet and the Waste Collection worksheet via the links below, as well as the sequential supply chain step worksheets for the Waste Gasification pathway.",
IF(AND(E21=Units!B139,E27=Units!L125),"2. Then, please move on to and complete the Generic Fossil Counterfactual via the link below, as well as the sequential supply chain step worksheets for the Other pathway.",
IF(E21=Units!B139,"2. Then, please complete the Generic Feedstock Cultivation worksheet via the link below, as well as the sequential supply chain step worksheets for the Other pathway.",
"2. Please go back to the Technology section and select a hydrogen production pathway.")))))))))))))))))</f>
        <v>2. Please go back to the Technology section and select a hydrogen production pathway.</v>
      </c>
      <c r="E130" s="345"/>
      <c r="F130" s="190"/>
      <c r="G130" s="190"/>
      <c r="J130" s="566"/>
      <c r="K130" s="566"/>
    </row>
    <row r="131" spans="2:11" ht="18.5">
      <c r="C131" s="190"/>
      <c r="D131" s="453" t="str" cm="1">
        <f t="array" aca="1" ref="D131" ca="1">IF(AND(E21=Units!B126:B128,OR(E112:E113="Default")),HYPERLINK(CELL("address",NG_Reforming_CCS!A1),"NG Reforming + CCS worksheet"),
IF(AND(E21=Units!B129,OR(OR(E112:E113="Default"),E73=Units!$H$120)),HYPERLINK(CELL("address",NG_Splitting_SolidCarbon!A1),"NG Splitting + Solid Carbon worksheet"),
IF(AND(E21=Units!B131:B134,OR(E112:E113="Default")),HYPERLINK(CELL("address",Biomethane_Reforming_CCS!A1),"Biomethane Reforming (+CCS) worksheet"),
IF(AND(E21=Units!B135:B136,OR(E112:E113="Default")),HYPERLINK(CELL("address",Biomass_Gasification_CCS!A1),"Biomass Gasification (+CCS) worksheet"),
IF(AND(E21=Units!B137:B138,OR(E112:E113="Default")),HYPERLINK(CELL("address",Waste_Fossil_Counterfactual!A1),"Waste Fossil Counterfactual worksheet"),
IF(OR(E21=Units!B120:B125),HYPERLINK(CELL("address",Electrolysis!A1),"Electrolysis worksheet"),
IF(OR(E21=Units!B126:B128),HYPERLINK(CELL("address",NG_Collection!A1),"NG Collection worksheet"),
IF(E21=Units!B129,HYPERLINK(CELL("address",NG_Collection!A1),"NG Collection worksheet"),
IF(AND(E21=Units!B130,E27=Units!L122),HYPERLINK(CELL("address",ROG_Counterfactual!A1),"ROG Counterfactual worksheet"),
IF(AND(E21=Units!B130,E27=Units!L123),HYPERLINK(CELL("address",ROG_Processing!A1),"ROG Processing worksheet"),
IF(AND(E21=Units!B130,E27=Units!L124),HYPERLINK(CELL("address",Crude_Collection!A1),"Crude Collection worksheet"),
IF(E21=Units!B130,HYPERLINK(CELL("address",ROG_Counterfactual!A1),"ROG Counterfactual worksheet"),
IF(OR(E21=Units!B131:B134),HYPERLINK(CELL("address",Biogas_Feedstock_Cultivation!A1),"Biogas Feedstock Cultivation worksheet"),
IF(OR(E21=Units!B135:B136),HYPERLINK(CELL("address",Biomass_Cultivation!A1),"Biomass Cultivation worksheet"),
IF(OR(E21=Units!B137:B138),HYPERLINK(CELL("address",Waste_Fossil_Counterfactual!A1),"Waste Fossil Counterfactual worksheet"),
IF(AND(E21=Units!B139,E27=Units!L125),HYPERLINK(CELL("address",Generic_Fossil_Counterfactual!A1),"Generic Fossil Counterfactual worksheet"),
IF(E21=Units!B139,HYPERLINK(CELL("address",Generic_Feedstock_Cultivation!A1),"Generic Feedstock Cultivation worksheet"),
HYPERLINK("#E21","Please go back to the Technology section and select a hydrogen production pathway"))))))))))))))))))</f>
        <v>Please go back to the Technology section and select a hydrogen production pathway</v>
      </c>
      <c r="E131" s="577" t="str" cm="1">
        <f t="array" aca="1" ref="E131" ca="1">IF(AND(Path=Units!B137:B138,OR(E112:E113="Default")),HYPERLINK(CELL("address",Waste_Gasification_CCS!A1),"Waste Gasification (+CCS) worksheet"),
IF(OR(Path=Units!B137:B138),HYPERLINK(CELL("address",Waste_Collection!A1),"Waste Collection worksheet"),
IF(AND(Path=Units!B130,E27=Units!L122),HYPERLINK(CELL("address",ROG_Processing!A1),"ROG Processing worksheet"),
IF(AND(Path=Units!B139,E27=Units!L125),HYPERLINK(CELL("address",Generic_Feedstock_Collection!A1),"Generic Feedstock Collection worksheet"),
""))))</f>
        <v/>
      </c>
      <c r="F131" s="190"/>
      <c r="G131" s="190"/>
      <c r="H131" s="549"/>
      <c r="J131" s="566"/>
      <c r="K131" s="566"/>
    </row>
    <row r="132" spans="2:11" ht="25.9" customHeight="1">
      <c r="B132" s="190"/>
      <c r="C132" s="233"/>
      <c r="D132" s="234" t="str" cm="1">
        <f t="array" ref="D132">IF(AND(E21=Units!B126:B128,OR(E112:E113="Default")),"3. Afterwards, please check the result in the GHG NG Reform + CCS summary worksheet, accessible via the link below.",
IF(AND(E21=Units!B129,OR(E112:E113="Default")),"3. Afterwards, please check the result in the GHG NG Splitting summary worksheet, accessible via the link below.",
IF(AND(E21=Units!B131:B134,OR(E112:E113="Default")),"3. Afterwards, please check the result in the GHG Biomethane Reforming summary worksheet, accessible via the link below.",
IF(AND(E21=Units!B135:B136,OR(E112:E113="Default")),"3. Afterwards, please check the result in the GHG Biomass Gasification summary worksheet, accessible via the link below.",
IF(AND(E21=Units!B137:B138,OR(E112:E113="Default")),"3. Afterwards, please check the result in the GHG Waste Gasification summary worksheet, accessible via the link below.",
IF(OR(E21=Units!B120:B125),"3. Afterwards, please check the result in the GHG Electrolysis summary worksheet, accessible via the link below.",
IF(OR(E21=Units!B126:B128),"3. After completing the relevant supply chain step worksheets for the NG Reforming pathway, please check the result in the GHG NG Reforming + CCS summary worksheet (accessible via the link below).",
IF(E21=Units!B129,"3. After completing the relevant supply chain step worksheets for the NG Splitting pathway, please check the result in the GHG NG Splitting summary worksheet (accessible via the link below).",
IF(E21=Units!B130,"3. After completing the relevant supply chain step worksheets for the ROG Reforming pathway, please check the result in the GHG ROG Reforming + CCS summary worksheet (accessible via the link below).",
IF(OR(E21=Units!B131:B134),"3. After completing the relevant supply chain step worksheets for the Biomethane Reforming pathway, please check the result in the GHG Biomethane Reforming summary worksheet (accessible via the link below).",
IF(OR(E21=Units!B135:B136),"3. After completing the relevant supply chain step worksheets for the Biomass Gasification pathway, please check the result in the GHG Biomass Gasification summary worksheet (accessible via the link below).",
IF(OR(E21=Units!B137:B138),"3. After completing the relevant supply chain step worksheets for the Waste Gasification pathway, please check the result in the GHG Waste Gasification summary worksheet (accessible via the link below).",
IF(E21=Units!B139,"3. After completing the relevant supply chain step worksheets for the Other pathway, please check the result in the GHG Generic Other summary worksheet (accessible via the link below).","")))))))))))))</f>
        <v/>
      </c>
      <c r="E132" s="336"/>
      <c r="F132" s="190"/>
      <c r="G132" s="190"/>
      <c r="J132" s="566"/>
      <c r="K132" s="566"/>
    </row>
    <row r="133" spans="2:11" ht="18.5">
      <c r="B133" s="190"/>
      <c r="C133" s="190"/>
      <c r="D133" s="452" t="str" cm="1">
        <f t="array" aca="1" ref="D133" ca="1">IF(OR(E21=Units!B120:B125), HYPERLINK(CELL("address", GHG_ELECTROLYSIS!A1),"Electrolysis summary GHG worksheet"),
IF(OR(E21=Units!B126:B128),HYPERLINK(CELL("address",GHG_NG_REFORM_CCS!A1),"Fossil Reforming + CCS summary GHG worksheet"),
IF(E21=Units!B129,HYPERLINK(CELL("address",GHG_NG_SPLITTING!A1),"Fossil Splitting + Solid Carbon summary GHG worksheet"),
IF(E21=Units!B130,HYPERLINK(CELL("address",GHG_ROG_REFORM_CCS!A1),"ROG Reforming + CCS summary GHG worksheet"),
IF(OR(E21=Units!B131:B134),HYPERLINK(CELL("address",GHG_BIOMETHANE_REFORM!A1),"Biomethane Reforming (+CCS) summary GHG worksheet"),
IF(OR(E21=Units!B135:B136),HYPERLINK(CELL("address",GHG_BIOMASS_GASIFICATION!A1),"Biomass Gasification summary GHG worksheet"),
IF(OR(E21=Units!B137:B138),HYPERLINK(CELL("address",GHG_WASTE_GASIFICATION!A1),"Waste Gasification summary GHG worksheet"),
IF(E21=Units!B139,HYPERLINK(CELL("address",GHG_GENERIC_OTHER!A1),"Other pathway summary GHG worksheet"),
HYPERLINK("#E21","Please go back to the Technology section and select a hydrogen production pathway")))))))))</f>
        <v>Please go back to the Technology section and select a hydrogen production pathway</v>
      </c>
      <c r="E133" s="336"/>
      <c r="F133" s="190"/>
      <c r="G133" s="190"/>
      <c r="J133" s="566"/>
      <c r="K133" s="566"/>
    </row>
    <row r="134" spans="2:11" ht="24" customHeight="1">
      <c r="B134" s="190"/>
      <c r="C134" s="190"/>
      <c r="D134" s="322" t="str">
        <f>IF(D132="","","4. Finally, complete and check the Dashboard worksheet.")</f>
        <v/>
      </c>
      <c r="E134" s="336"/>
      <c r="F134" s="190"/>
      <c r="G134" s="190"/>
      <c r="J134" s="566"/>
      <c r="K134" s="566"/>
    </row>
    <row r="135" spans="2:11" ht="18.5">
      <c r="B135" s="190"/>
      <c r="C135" s="190"/>
      <c r="D135" s="451" t="s">
        <v>221</v>
      </c>
      <c r="E135" s="336"/>
      <c r="F135" s="190"/>
      <c r="G135" s="190"/>
      <c r="J135" s="566"/>
      <c r="K135" s="566"/>
    </row>
    <row r="136" spans="2:11" ht="23.5">
      <c r="B136" s="190"/>
      <c r="C136" s="233"/>
      <c r="D136" s="633" t="s">
        <v>222</v>
      </c>
      <c r="E136" s="336"/>
      <c r="F136" s="190"/>
      <c r="G136" s="190"/>
      <c r="J136" s="566"/>
      <c r="K136" s="566"/>
    </row>
    <row r="137" spans="2:11" ht="18.5">
      <c r="B137" s="190"/>
      <c r="C137" s="190"/>
      <c r="D137" s="234"/>
      <c r="E137" s="336"/>
      <c r="F137" s="190"/>
      <c r="G137" s="190"/>
    </row>
    <row r="138" spans="2:11" ht="18.5">
      <c r="B138" s="190"/>
      <c r="C138" s="190"/>
      <c r="D138" s="234"/>
      <c r="E138" s="336"/>
      <c r="F138" s="190"/>
      <c r="G138" s="190"/>
    </row>
    <row r="139" spans="2:11">
      <c r="B139" s="190"/>
      <c r="C139" s="190"/>
      <c r="D139" s="190"/>
      <c r="E139" s="336"/>
      <c r="F139" s="190"/>
      <c r="G139" s="190"/>
    </row>
    <row r="141" spans="2:11" ht="21">
      <c r="D141" s="334"/>
    </row>
  </sheetData>
  <dataConsolidate/>
  <customSheetViews>
    <customSheetView guid="{2D920366-22B2-4182-A65D-0EDBE614FB37}" showGridLines="0">
      <pageMargins left="0" right="0" top="0" bottom="0" header="0" footer="0"/>
      <pageSetup paperSize="9" orientation="portrait" horizontalDpi="90" verticalDpi="90" r:id="rId1"/>
    </customSheetView>
    <customSheetView guid="{F468A2FD-7987-4A9D-8BAE-1AACE523607F}" showGridLines="0" topLeftCell="A100">
      <selection activeCell="B105" sqref="B105"/>
      <pageMargins left="0" right="0" top="0" bottom="0" header="0" footer="0"/>
      <pageSetup paperSize="9" orientation="portrait" horizontalDpi="90" verticalDpi="90" r:id="rId2"/>
    </customSheetView>
    <customSheetView guid="{D97B1299-69D0-4EE0-B673-CCF74742F96B}" topLeftCell="B12">
      <selection activeCell="E21" sqref="E21"/>
      <pageMargins left="0" right="0" top="0" bottom="0" header="0" footer="0"/>
      <pageSetup paperSize="9" orientation="portrait" horizontalDpi="90" verticalDpi="90" r:id="rId3"/>
    </customSheetView>
    <customSheetView guid="{3F0A4FBA-5323-448F-A023-B3E14C54064C}" scale="60" showGridLines="0" topLeftCell="A101">
      <selection activeCell="F22" sqref="F22"/>
      <pageMargins left="0" right="0" top="0" bottom="0" header="0" footer="0"/>
      <pageSetup paperSize="9" orientation="portrait" horizontalDpi="90" verticalDpi="90" r:id="rId4"/>
    </customSheetView>
    <customSheetView guid="{E6EFD927-84B2-4D06-BB59-59D9DF522DA2}" showGridLines="0" topLeftCell="A100">
      <selection activeCell="B104" sqref="B104"/>
      <pageMargins left="0" right="0" top="0" bottom="0" header="0" footer="0"/>
      <pageSetup paperSize="9" orientation="portrait" horizontalDpi="90" verticalDpi="90" r:id="rId5"/>
    </customSheetView>
    <customSheetView guid="{0E935136-9A80-44B6-88D5-61E64D742049}" showGridLines="0" topLeftCell="A100">
      <selection activeCell="B104" sqref="B104"/>
      <pageMargins left="0" right="0" top="0" bottom="0" header="0" footer="0"/>
      <pageSetup paperSize="9" orientation="portrait" horizontalDpi="90" verticalDpi="90" r:id="rId6"/>
    </customSheetView>
    <customSheetView guid="{1C16EB38-F785-4168-9938-104594734038}" showGridLines="0" topLeftCell="A97">
      <selection activeCell="B104" sqref="B104"/>
      <pageMargins left="0" right="0" top="0" bottom="0" header="0" footer="0"/>
      <pageSetup paperSize="9" orientation="portrait" horizontalDpi="90" verticalDpi="90" r:id="rId7"/>
    </customSheetView>
    <customSheetView guid="{EECBF9DF-6D77-4263-85DA-71E40216BADD}" showGridLines="0" topLeftCell="A100">
      <selection activeCell="B104" sqref="B104"/>
      <pageMargins left="0" right="0" top="0" bottom="0" header="0" footer="0"/>
      <pageSetup paperSize="9" orientation="portrait" horizontalDpi="90" verticalDpi="90" r:id="rId8"/>
    </customSheetView>
    <customSheetView guid="{F03309BC-D3FA-4CF2-833B-D6D9A95FE1FB}" showGridLines="0" topLeftCell="A98">
      <selection activeCell="D2" sqref="D2"/>
      <pageMargins left="0" right="0" top="0" bottom="0" header="0" footer="0"/>
      <pageSetup paperSize="9" orientation="portrait" horizontalDpi="90" verticalDpi="90" r:id="rId9"/>
    </customSheetView>
  </customSheetViews>
  <mergeCells count="70">
    <mergeCell ref="G50:H50"/>
    <mergeCell ref="G53:H53"/>
    <mergeCell ref="C103:D103"/>
    <mergeCell ref="B62:B70"/>
    <mergeCell ref="B101:B108"/>
    <mergeCell ref="C63:D63"/>
    <mergeCell ref="C65:D65"/>
    <mergeCell ref="C66:D66"/>
    <mergeCell ref="C64:D64"/>
    <mergeCell ref="C69:D69"/>
    <mergeCell ref="C68:D68"/>
    <mergeCell ref="C70:D70"/>
    <mergeCell ref="C87:D87"/>
    <mergeCell ref="C86:D86"/>
    <mergeCell ref="C90:D90"/>
    <mergeCell ref="C77:D77"/>
    <mergeCell ref="C14:D14"/>
    <mergeCell ref="C16:D16"/>
    <mergeCell ref="C24:D24"/>
    <mergeCell ref="C27:D27"/>
    <mergeCell ref="C29:D29"/>
    <mergeCell ref="C23:D23"/>
    <mergeCell ref="C19:D19"/>
    <mergeCell ref="C25:D25"/>
    <mergeCell ref="C21:D21"/>
    <mergeCell ref="C28:D28"/>
    <mergeCell ref="C18:D18"/>
    <mergeCell ref="C15:D15"/>
    <mergeCell ref="C30:D30"/>
    <mergeCell ref="C31:D31"/>
    <mergeCell ref="C73:D73"/>
    <mergeCell ref="C71:D71"/>
    <mergeCell ref="C48:D48"/>
    <mergeCell ref="C33:D33"/>
    <mergeCell ref="C60:D60"/>
    <mergeCell ref="C49:D49"/>
    <mergeCell ref="C72:D72"/>
    <mergeCell ref="C67:D67"/>
    <mergeCell ref="C117:D117"/>
    <mergeCell ref="C112:D112"/>
    <mergeCell ref="C108:D108"/>
    <mergeCell ref="C107:D107"/>
    <mergeCell ref="C104:D104"/>
    <mergeCell ref="C116:D116"/>
    <mergeCell ref="C109:D109"/>
    <mergeCell ref="C106:D106"/>
    <mergeCell ref="C113:D113"/>
    <mergeCell ref="C114:D114"/>
    <mergeCell ref="C115:D115"/>
    <mergeCell ref="C76:D76"/>
    <mergeCell ref="C75:D75"/>
    <mergeCell ref="B72:B74"/>
    <mergeCell ref="B76:B78"/>
    <mergeCell ref="C102:D102"/>
    <mergeCell ref="C100:D100"/>
    <mergeCell ref="C85:D85"/>
    <mergeCell ref="C79:D79"/>
    <mergeCell ref="C84:D84"/>
    <mergeCell ref="C80:D80"/>
    <mergeCell ref="C81:D81"/>
    <mergeCell ref="C83:D83"/>
    <mergeCell ref="C82:D82"/>
    <mergeCell ref="C91:D91"/>
    <mergeCell ref="B92:B99"/>
    <mergeCell ref="C93:D93"/>
    <mergeCell ref="C94:D94"/>
    <mergeCell ref="C95:D95"/>
    <mergeCell ref="C97:D97"/>
    <mergeCell ref="C98:D98"/>
    <mergeCell ref="C99:D99"/>
  </mergeCells>
  <conditionalFormatting sqref="E59">
    <cfRule type="expression" dxfId="106" priority="6">
      <formula>SUM($E50:$E$58)&lt;1</formula>
    </cfRule>
  </conditionalFormatting>
  <conditionalFormatting sqref="E89">
    <cfRule type="expression" dxfId="105" priority="2">
      <formula>ISNUMBER(E89)=TRUE</formula>
    </cfRule>
  </conditionalFormatting>
  <dataValidations count="26">
    <dataValidation type="list" showInputMessage="1" showErrorMessage="1" errorTitle="Please select from the drop down" sqref="E21" xr:uid="{C2C021BE-923B-48F7-9D24-943CDCEBE2C3}">
      <formula1>Pathway_list</formula1>
    </dataValidation>
    <dataValidation type="list" showInputMessage="1" showErrorMessage="1" sqref="E73" xr:uid="{A5A72204-A510-44AF-800A-597BE6B3FBCE}">
      <formula1>Gas</formula1>
    </dataValidation>
    <dataValidation type="list" showInputMessage="1" showErrorMessage="1" sqref="E107 E98" xr:uid="{47E8F630-2915-4562-8EEB-D6DD00832394}">
      <formula1>Credit</formula1>
    </dataValidation>
    <dataValidation type="list" showInputMessage="1" showErrorMessage="1" sqref="E29" xr:uid="{29EDCD2E-CDE7-4009-83DA-F4D2B97E5659}">
      <formula1>Location</formula1>
    </dataValidation>
    <dataValidation type="list" showInputMessage="1" showErrorMessage="1" sqref="E108 E99" xr:uid="{1332DB4B-38C5-4077-B680-C4CD34B7EADF}">
      <formula1>Offset</formula1>
    </dataValidation>
    <dataValidation type="list" showInputMessage="1" showErrorMessage="1" sqref="E27" xr:uid="{407C6F62-9C83-4BE3-8262-A31DE4EB14FE}">
      <formula1>Feedstock</formula1>
    </dataValidation>
    <dataValidation type="list" showInputMessage="1" showErrorMessage="1" sqref="E77" xr:uid="{AACC648B-3C05-4BD9-955C-EE50CA4D0797}">
      <formula1>Biomethane</formula1>
    </dataValidation>
    <dataValidation type="list" showInputMessage="1" showErrorMessage="1" sqref="E68" xr:uid="{2074AA4B-01FA-4E1A-B62C-455B68E62D18}">
      <formula1>iLUC</formula1>
    </dataValidation>
    <dataValidation type="list" showInputMessage="1" showErrorMessage="1" sqref="E87" xr:uid="{0C4B51AC-A925-4C75-89A7-FFC82CBC1902}">
      <formula1>Elec</formula1>
    </dataValidation>
    <dataValidation type="list" showInputMessage="1" showErrorMessage="1" sqref="E24" xr:uid="{2A0471D6-0A2F-407B-8D15-C2DA89520A4D}">
      <formula1>Years</formula1>
    </dataValidation>
    <dataValidation type="list" showInputMessage="1" showErrorMessage="1" sqref="E23 E17 E90" xr:uid="{30976534-7487-4A57-AE70-B00CF6E304F1}">
      <formula1>Risk</formula1>
    </dataValidation>
    <dataValidation type="list" showInputMessage="1" showErrorMessage="1" sqref="E63:E65 E67" xr:uid="{945BDDCD-23BE-4620-B295-7DAB2421C072}">
      <formula1>Sustainability</formula1>
    </dataValidation>
    <dataValidation type="custom" allowBlank="1" showInputMessage="1" showErrorMessage="1" sqref="E81:E86 E102:E103 E69 E47 E93:E94" xr:uid="{732FE59B-30DF-4635-8032-28489FC2AD7E}">
      <formula1>ISNUMBER(E47)</formula1>
    </dataValidation>
    <dataValidation type="custom" allowBlank="1" showInputMessage="1" showErrorMessage="1" sqref="M64" xr:uid="{3DF13BD0-77FF-4577-A12F-6467FE0812F1}">
      <formula1>"password"</formula1>
    </dataValidation>
    <dataValidation type="custom" allowBlank="1" showInputMessage="1" showErrorMessage="1" error="Please do not change" sqref="E70 B76:B78 C72:D78" xr:uid="{04BCE484-44E2-483C-8C94-0D049CBB4853}">
      <formula1>"Please do not change"</formula1>
    </dataValidation>
    <dataValidation type="custom" allowBlank="1" showInputMessage="1" showErrorMessage="1" error="Please do not change this formula_x000a_" prompt="Please do not change this formula" sqref="E59" xr:uid="{970187B3-683C-4DE9-8FF7-64E65BBCCFFE}">
      <formula1>"Please do not change this formula"</formula1>
    </dataValidation>
    <dataValidation type="custom" allowBlank="1" showInputMessage="1" showErrorMessage="1" error="Please do not change_x000a_" sqref="C1:C10 F84 B121:B1048576 C12:C47 C49:D71 B1:B75 G1:G84 D1:D47 A1:A1048576 E131 D116:D129 B79:B119 C79:D115 F85:G1048576 F1:F80 C116:C1048576 D133:D1048576 D130:D132" xr:uid="{CAD7FD28-5DF5-422F-A175-153C50C2C127}">
      <formula1>"Please do not change"</formula1>
    </dataValidation>
    <dataValidation type="decimal" allowBlank="1" showInputMessage="1" showErrorMessage="1" sqref="E34:E41" xr:uid="{B44018ED-B095-4714-9143-B3C49C8A90D1}">
      <formula1>0</formula1>
      <formula2>10000000000</formula2>
    </dataValidation>
    <dataValidation type="decimal" allowBlank="1" showInputMessage="1" showErrorMessage="1" sqref="E44:E46 E50:E58" xr:uid="{BB3D8190-188B-4640-9CA2-5E8C51166FC6}">
      <formula1>0</formula1>
      <formula2>1</formula2>
    </dataValidation>
    <dataValidation type="list" showInputMessage="1" showErrorMessage="1" sqref="E104" xr:uid="{E51EA58B-9933-4F55-9C9E-C54E0868A780}">
      <formula1>SolidCarbon</formula1>
    </dataValidation>
    <dataValidation type="list" showInputMessage="1" showErrorMessage="1" sqref="E95" xr:uid="{F6B5CEBE-2C48-4648-82AD-F1FB0C81AE62}">
      <formula1>Capture</formula1>
    </dataValidation>
    <dataValidation type="custom" allowBlank="1" showInputMessage="1" showErrorMessage="1" errorTitle="Impermissible assumption" error="The theoretical electricity must not have a lower GHG intensity than the projected electricity mix given above in cell E40, and so must also report a non-negative intensity" sqref="E89" xr:uid="{197FC6D6-52F6-48C1-A548-2D6637E75495}">
      <formula1>E89&gt;=E43</formula1>
    </dataValidation>
    <dataValidation type="list" showInputMessage="1" showErrorMessage="1" sqref="E115" xr:uid="{D9056506-133A-4DB0-BFBA-0FC20729FC3E}">
      <formula1>InputMaterialsData</formula1>
    </dataValidation>
    <dataValidation type="list" allowBlank="1" showInputMessage="1" showErrorMessage="1" sqref="E113" xr:uid="{3ECAF090-5D7F-424A-9D00-713AB808C5BF}">
      <formula1>FeedstockSupplyData</formula1>
    </dataValidation>
    <dataValidation type="list" showInputMessage="1" showErrorMessage="1" sqref="E114" xr:uid="{4C780903-4080-4C70-AC12-2DEC300CB273}">
      <formula1>EnergySupplyData</formula1>
    </dataValidation>
    <dataValidation type="list" allowBlank="1" showInputMessage="1" showErrorMessage="1" sqref="E112" xr:uid="{AC65EB17-2C01-4DDC-ADA8-3B2C000F8F9E}">
      <formula1>AllData</formula1>
    </dataValidation>
  </dataValidations>
  <hyperlinks>
    <hyperlink ref="D135" location="Dashboard!A1" display="Dashboard worksheet" xr:uid="{9CDAE9BD-8E10-4563-B9D5-7E6D87EFB460}"/>
  </hyperlinks>
  <pageMargins left="0" right="0" top="0" bottom="0" header="0" footer="0"/>
  <pageSetup paperSize="9" orientation="portrait" horizontalDpi="90" verticalDpi="90" r:id="rId10"/>
  <drawing r:id="rId11"/>
  <extLst>
    <ext xmlns:x14="http://schemas.microsoft.com/office/spreadsheetml/2009/9/main" uri="{78C0D931-6437-407d-A8EE-F0AAD7539E65}">
      <x14:conditionalFormattings>
        <x14:conditionalFormatting xmlns:xm="http://schemas.microsoft.com/office/excel/2006/main">
          <x14:cfRule type="expression" priority="251" id="{27525D72-9918-47C4-8106-A7B32AF9A9B2}">
            <xm:f>OR(Path=Units!B137:B138,AND(Path=Units!B139,E27=Units!$L$125), Path=Units!B130)</xm:f>
            <x14:dxf>
              <font>
                <color theme="7" tint="-0.499984740745262"/>
              </font>
              <fill>
                <patternFill>
                  <bgColor theme="0"/>
                </patternFill>
              </fill>
              <border>
                <right style="thin">
                  <color auto="1"/>
                </right>
                <top style="thin">
                  <color auto="1"/>
                </top>
                <bottom style="thin">
                  <color auto="1"/>
                </bottom>
                <vertical/>
                <horizontal/>
              </border>
            </x14:dxf>
          </x14:cfRule>
          <xm:sqref>E131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3554ECAF-2D08-483A-A4B4-049AA02506DB}">
          <x14:formula1>
            <xm:f>IF(--OR(Path=Units!$B$133:$B$138), Sustainability, Units!$N$122)</xm:f>
          </x14:formula1>
          <xm:sqref>E111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theme="1"/>
  </sheetPr>
  <dimension ref="A1:C46"/>
  <sheetViews>
    <sheetView showGridLines="0" zoomScaleNormal="100" workbookViewId="0"/>
  </sheetViews>
  <sheetFormatPr defaultColWidth="9.1796875" defaultRowHeight="14.5"/>
  <cols>
    <col min="1" max="1" width="9.1796875" style="2" customWidth="1"/>
    <col min="2" max="2" width="64.81640625" style="2" customWidth="1"/>
    <col min="3" max="3" width="39.54296875" style="2" customWidth="1"/>
    <col min="4" max="16384" width="9.1796875" style="2"/>
  </cols>
  <sheetData>
    <row r="1" spans="1:3">
      <c r="A1" s="298"/>
      <c r="B1" s="298"/>
      <c r="C1" s="298"/>
    </row>
    <row r="2" spans="1:3" ht="28.5">
      <c r="A2" s="298"/>
      <c r="B2" s="191" t="s">
        <v>223</v>
      </c>
      <c r="C2" s="298"/>
    </row>
    <row r="3" spans="1:3">
      <c r="A3" s="298"/>
      <c r="B3" s="192"/>
      <c r="C3" s="298"/>
    </row>
    <row r="4" spans="1:3">
      <c r="A4" s="298"/>
      <c r="B4" s="625" t="s">
        <v>224</v>
      </c>
    </row>
    <row r="5" spans="1:3">
      <c r="A5" s="298"/>
      <c r="B5" s="625" t="s">
        <v>225</v>
      </c>
    </row>
    <row r="6" spans="1:3">
      <c r="A6" s="298"/>
      <c r="B6" s="666" t="str" cm="1">
        <f t="array" aca="1" ref="B6" ca="1">HYPERLINK(CELL("address",Initial_questions!B119), "After providing the schematic, please click here to return to the Initial questions worksheet for further instructions")</f>
        <v>After providing the schematic, please click here to return to the Initial questions worksheet for further instructions</v>
      </c>
      <c r="C6" s="667"/>
    </row>
    <row r="7" spans="1:3">
      <c r="B7" s="370" t="s">
        <v>226</v>
      </c>
    </row>
    <row r="8" spans="1:3">
      <c r="B8" s="369"/>
    </row>
    <row r="9" spans="1:3">
      <c r="B9" s="369"/>
    </row>
    <row r="10" spans="1:3">
      <c r="B10" s="299" t="s">
        <v>227</v>
      </c>
    </row>
    <row r="11" spans="1:3">
      <c r="B11" s="299"/>
    </row>
    <row r="46" spans="2:2">
      <c r="B46" s="299" t="s">
        <v>228</v>
      </c>
    </row>
  </sheetData>
  <customSheetViews>
    <customSheetView guid="{2D920366-22B2-4182-A65D-0EDBE614FB37}" showGridLines="0">
      <pageMargins left="0" right="0" top="0" bottom="0" header="0" footer="0"/>
      <pageSetup paperSize="9" orientation="portrait" verticalDpi="0" r:id="rId1"/>
    </customSheetView>
    <customSheetView guid="{F468A2FD-7987-4A9D-8BAE-1AACE523607F}" showGridLines="0">
      <selection activeCell="D1" sqref="D1"/>
      <pageMargins left="0" right="0" top="0" bottom="0" header="0" footer="0"/>
      <pageSetup paperSize="9" orientation="portrait" verticalDpi="0" r:id="rId2"/>
    </customSheetView>
    <customSheetView guid="{D97B1299-69D0-4EE0-B673-CCF74742F96B}">
      <selection activeCell="B6" sqref="B6:C6"/>
      <pageMargins left="0" right="0" top="0" bottom="0" header="0" footer="0"/>
      <pageSetup paperSize="9" orientation="portrait" verticalDpi="0" r:id="rId3"/>
    </customSheetView>
    <customSheetView guid="{3F0A4FBA-5323-448F-A023-B3E14C54064C}" showGridLines="0">
      <selection activeCell="D2" sqref="D2"/>
      <pageMargins left="0" right="0" top="0" bottom="0" header="0" footer="0"/>
      <pageSetup paperSize="9" orientation="portrait" verticalDpi="0" r:id="rId4"/>
    </customSheetView>
    <customSheetView guid="{E6EFD927-84B2-4D06-BB59-59D9DF522DA2}" showGridLines="0">
      <selection activeCell="D1" sqref="D1"/>
      <pageMargins left="0" right="0" top="0" bottom="0" header="0" footer="0"/>
      <pageSetup paperSize="9" orientation="portrait" verticalDpi="0" r:id="rId5"/>
    </customSheetView>
    <customSheetView guid="{0E935136-9A80-44B6-88D5-61E64D742049}" showGridLines="0">
      <selection activeCell="D1" sqref="D1"/>
      <pageMargins left="0" right="0" top="0" bottom="0" header="0" footer="0"/>
      <pageSetup paperSize="9" orientation="portrait" verticalDpi="0" r:id="rId6"/>
    </customSheetView>
    <customSheetView guid="{1C16EB38-F785-4168-9938-104594734038}" showGridLines="0">
      <selection activeCell="D1" sqref="D1"/>
      <pageMargins left="0" right="0" top="0" bottom="0" header="0" footer="0"/>
      <pageSetup paperSize="9" orientation="portrait" verticalDpi="0" r:id="rId7"/>
    </customSheetView>
    <customSheetView guid="{EECBF9DF-6D77-4263-85DA-71E40216BADD}" showGridLines="0">
      <selection activeCell="D1" sqref="D1"/>
      <pageMargins left="0" right="0" top="0" bottom="0" header="0" footer="0"/>
      <pageSetup paperSize="9" orientation="portrait" verticalDpi="0" r:id="rId8"/>
    </customSheetView>
    <customSheetView guid="{F03309BC-D3FA-4CF2-833B-D6D9A95FE1FB}" showGridLines="0">
      <selection activeCell="D2" sqref="D2"/>
      <pageMargins left="0" right="0" top="0" bottom="0" header="0" footer="0"/>
      <pageSetup paperSize="9" orientation="portrait" verticalDpi="0" r:id="rId9"/>
    </customSheetView>
  </customSheetViews>
  <mergeCells count="1">
    <mergeCell ref="B6:C6"/>
  </mergeCells>
  <pageMargins left="0" right="0" top="0" bottom="0" header="0" footer="0"/>
  <pageSetup paperSize="9" orientation="portrait" verticalDpi="0" r:id="rId10"/>
  <drawing r:id="rId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CDD0A-93B2-41A2-8F26-2C5C7229063B}">
  <sheetPr codeName="Sheet4">
    <tabColor theme="1"/>
  </sheetPr>
  <dimension ref="A1:H41"/>
  <sheetViews>
    <sheetView showGridLines="0" zoomScaleNormal="100" workbookViewId="0"/>
  </sheetViews>
  <sheetFormatPr defaultColWidth="8.81640625" defaultRowHeight="14.5"/>
  <cols>
    <col min="1" max="1" width="5.1796875" customWidth="1"/>
    <col min="2" max="2" width="93.54296875" customWidth="1"/>
    <col min="3" max="3" width="57.26953125" customWidth="1"/>
    <col min="4" max="4" width="23.453125" customWidth="1"/>
    <col min="5" max="5" width="35.1796875" customWidth="1"/>
  </cols>
  <sheetData>
    <row r="1" spans="1:8">
      <c r="A1" s="190"/>
      <c r="B1" s="190"/>
      <c r="C1" s="190"/>
      <c r="D1" s="190"/>
      <c r="E1" s="190"/>
      <c r="F1" s="190"/>
      <c r="G1" s="190"/>
      <c r="H1" s="190"/>
    </row>
    <row r="2" spans="1:8" ht="28.5">
      <c r="A2" s="190"/>
      <c r="B2" s="191" t="s">
        <v>229</v>
      </c>
      <c r="C2" s="190"/>
      <c r="D2" s="190"/>
      <c r="E2" s="190"/>
      <c r="F2" s="190"/>
      <c r="G2" s="190"/>
      <c r="H2" s="190"/>
    </row>
    <row r="3" spans="1:8">
      <c r="A3" s="190"/>
      <c r="B3" s="190"/>
      <c r="C3" s="190"/>
      <c r="D3" s="190"/>
      <c r="E3" s="190"/>
      <c r="F3" s="190"/>
      <c r="G3" s="190"/>
      <c r="H3" s="190"/>
    </row>
    <row r="4" spans="1:8" ht="15.75" customHeight="1">
      <c r="A4" s="190"/>
      <c r="B4" s="579" t="s">
        <v>230</v>
      </c>
      <c r="C4" s="436" t="str">
        <f>IF(D4="","Yes","No")</f>
        <v>No</v>
      </c>
      <c r="D4" s="368" t="str" cm="1">
        <f t="array" ref="D4">IF(
AND(Initial_questions!$E$87&lt;&gt;"Not applicable", Initial_questions!$E$89&lt;Initial_questions!$E$43), "GHG intensity of electricity used for theoretical compression/purification cannot be lower than input electricity mix",
IF(COUNTIF(Initial_questions!C14:D18,"*Not applicable*")&lt;COUNTBLANK(Initial_questions!E14:E18),"Please answer all relevant questions in the Project details section of the Initial questions worksheet",
IF(COUNTIF(Initial_questions!C21:D24,"*Not applicable*")&lt;COUNTBLANK(Initial_questions!E21:E24),"Please answer all relevant questions in the Technology section of the Initial questions worksheet",
IF(COUNTIF(Initial_questions!C27:D30,"*Not applicable*")&lt;COUNTBLANK(Initial_questions!E27:E30),"Please answer all relevant questions in the Feedstock/main input energy origins section of the Initial questions worksheet",
IF(COUNTIF(Initial_questions!C34:D48,"*Not applicable*")&lt;COUNTBLANK(Initial_questions!E34:E48),"Please answer all relevant questions in the Electricity inputs section of the Inital questions worksheet",
IF(COUNTIF(Initial_questions!C50:D59,"*Not applicable*")&lt;COUNTBLANK(Initial_questions!E50:E59),"Please answer all relevant questions in the Electricity inputs section of the Inital questions worksheet",
IF(COUNTIF(Initial_questions!C63:D70,"*Not applicable*")&lt;COUNTBLANK(Initial_questions!E63:E70),"Please answer all relevant questions in the Biomass feedstocks section of the Initial questions worksheet",
IF(COUNTIF(Initial_questions!C73:D74,"*Not applicable*")&lt;COUNTBLANK(Initial_questions!E73:E74),"Please answer all relevant questions in the Fossil natural gas section of the Initial questions worksheet",
IF(COUNTIF(Initial_questions!C77:D78,"*Not applicable*")&lt;COUNTBLANK(Initial_questions!E77:E78),"Please answer all relevant questions in the Biomethane section of the Initial questions worksheet",
IF(COUNTIF(Initial_questions!C84:D90,"*Not applicable*")&lt;COUNTBLANK(Initial_questions!E84:E90), "Please answer all relevant questions in the Hydrogen output section of the Initial questions worksheet",
IF(COUNTIF(Initial_questions!C102:D108,"*Not applicable*")&lt;COUNTBLANK(Initial_questions!E102:E108),"Please answer all relevant questions in the CO2 capture section of the Initial questions worksheet",
IF(COUNTIF(Initial_questions!C111:D117,"*Not applicable*")&lt;COUNTBLANK(Initial_questions!E111:E117),"Please answer all relevant questions in the Data sources section of the Initial questions worksheet",
IF(OR(ISBLANK(Initial_questions!E112:E115)=TRUE),"Please answer all relevant questions in the Data sources section of the Initial questions worksheet",
IF(OR(Initial_questions!E112:E115=0),"Please answer all relevant questions in the Data sources section of the Initial questions worksheet",""))))))))))))))</f>
        <v>Please answer all relevant questions in the Project details section of the Initial questions worksheet</v>
      </c>
      <c r="E4" s="190"/>
      <c r="F4" s="190"/>
      <c r="G4" s="190"/>
      <c r="H4" s="190"/>
    </row>
    <row r="5" spans="1:8" ht="15.75" customHeight="1">
      <c r="A5" s="190"/>
      <c r="B5" s="579" t="s">
        <v>231</v>
      </c>
      <c r="C5" s="536" t="str">
        <f>IF(Path="", "No pathway selected", Path)</f>
        <v>No pathway selected</v>
      </c>
      <c r="D5" s="190"/>
      <c r="E5" s="190"/>
      <c r="F5" s="190"/>
      <c r="G5" s="190"/>
      <c r="H5" s="190"/>
    </row>
    <row r="6" spans="1:8" ht="15.75" customHeight="1">
      <c r="A6" s="190"/>
      <c r="B6" s="579" t="s">
        <v>232</v>
      </c>
      <c r="C6" s="436" t="str">
        <f>IF(AND(Initial_questions!E$17="Yes", Initial_questions!E$23="Yes"), "Yes", "No")</f>
        <v>No</v>
      </c>
      <c r="D6" s="190"/>
      <c r="E6" s="190"/>
      <c r="F6" s="190"/>
      <c r="G6" s="190"/>
      <c r="H6" s="190"/>
    </row>
    <row r="7" spans="1:8" ht="15.75" customHeight="1">
      <c r="A7" s="190"/>
      <c r="B7" s="579" t="s">
        <v>233</v>
      </c>
      <c r="C7" s="437" t="str">
        <f>E29</f>
        <v>No pathway selected</v>
      </c>
      <c r="D7" s="327" t="s">
        <v>234</v>
      </c>
      <c r="E7" s="190"/>
      <c r="F7" s="190"/>
      <c r="G7" s="190"/>
      <c r="H7" s="190"/>
    </row>
    <row r="8" spans="1:8" ht="15.75" customHeight="1">
      <c r="A8" s="190"/>
      <c r="B8" s="579" t="s">
        <v>235</v>
      </c>
      <c r="C8" s="438" t="str">
        <f>Initial_questions!E47</f>
        <v>Please fill in the breakdown of electricity sources</v>
      </c>
      <c r="D8" s="190"/>
      <c r="E8" s="190"/>
      <c r="F8" s="190"/>
      <c r="G8" s="190"/>
      <c r="H8" s="190"/>
    </row>
    <row r="9" spans="1:8" ht="15.75" customHeight="1">
      <c r="A9" s="190"/>
      <c r="B9" s="579" t="s">
        <v>236</v>
      </c>
      <c r="C9" s="600" t="str">
        <f>IFERROR(SUM(Initial_questions!E34*100%+Initial_questions!E35*0%+Initial_questions!E36*Initial_questions!E44+Initial_questions!E37*Initial_questions!E45+Initial_questions!E38*Initial_questions!E46),"Please fill in electricity inputs")</f>
        <v>Please fill in electricity inputs</v>
      </c>
      <c r="D9" s="190" t="s">
        <v>237</v>
      </c>
      <c r="E9" s="190"/>
      <c r="F9" s="190"/>
      <c r="G9" s="190"/>
      <c r="H9" s="190"/>
    </row>
    <row r="10" spans="1:8" ht="15.75" customHeight="1">
      <c r="A10" s="190"/>
      <c r="B10" s="579" t="s">
        <v>238</v>
      </c>
      <c r="C10" s="438" t="str">
        <f>IF(OR(Initial_questions!E93 = "Not applicable",ISBLANK(Initial_questions!E93)), "Not applicable",Initial_questions!E93)</f>
        <v>Not applicable</v>
      </c>
      <c r="D10" s="190"/>
      <c r="E10" s="190"/>
      <c r="F10" s="190"/>
      <c r="G10" s="190"/>
      <c r="H10" s="190"/>
    </row>
    <row r="11" spans="1:8" ht="15.75" customHeight="1">
      <c r="A11" s="190"/>
      <c r="B11" s="579" t="s">
        <v>239</v>
      </c>
      <c r="C11" s="436" t="str" cm="1">
        <f t="array" ref="C11">IF(AND(OR(Initial_questions!E63="Yes",Initial_questions!E64="Yes",Initial_questions!E65="Yes"),(Initial_questions!E63:E65 &lt;&gt;"No")),"Yes",IF(OR(Initial_questions!E63:E65 = "No"),"No",IF(OR(Initial_questions!E63:E65 = "Not applicable",ISBLANK(Initial_questions!E63:E65)), "Not applicable","No")))</f>
        <v>Not applicable</v>
      </c>
      <c r="D11" s="190"/>
      <c r="E11" s="190"/>
      <c r="F11" s="190"/>
      <c r="G11" s="190"/>
      <c r="H11" s="190"/>
    </row>
    <row r="12" spans="1:8" ht="15.75" customHeight="1">
      <c r="A12" s="190"/>
      <c r="B12" s="579" t="s">
        <v>240</v>
      </c>
      <c r="C12" s="436" t="str">
        <f>IF(ISBLANK(Initial_questions!$E$67), "Not applicable",Initial_questions!$E$67)</f>
        <v>Not applicable</v>
      </c>
      <c r="D12" s="190"/>
      <c r="E12" s="190"/>
      <c r="F12" s="190"/>
      <c r="G12" s="190"/>
      <c r="H12" s="190"/>
    </row>
    <row r="13" spans="1:8" ht="15.75" customHeight="1">
      <c r="A13" s="190"/>
      <c r="B13" s="579" t="s">
        <v>241</v>
      </c>
      <c r="C13" s="439" t="str">
        <f>IF(OR(Initial_questions!E68="Not applicable", ISBLANK(Initial_questions!E68)),"Not applicable",Initial_questions!E70)</f>
        <v>Not applicable</v>
      </c>
      <c r="D13" s="327" t="s">
        <v>234</v>
      </c>
      <c r="E13" s="190"/>
      <c r="F13" s="190"/>
      <c r="G13" s="190"/>
      <c r="H13" s="190"/>
    </row>
    <row r="14" spans="1:8" ht="15.75" customHeight="1">
      <c r="A14" s="190"/>
      <c r="B14" s="579" t="s">
        <v>242</v>
      </c>
      <c r="C14" s="439" t="str">
        <f>IF(OR(Initial_questions!E104=Units!$J$120,Initial_questions!E104=Units!$J$121),"Yes",IF(ISBLANK(Initial_questions!E104),"Not applicable",IF(Initial_questions!E104="Not applicable", "Not applicable","No")))</f>
        <v>Not applicable</v>
      </c>
      <c r="D14" s="610"/>
      <c r="E14" s="190"/>
      <c r="F14" s="190"/>
      <c r="G14" s="190"/>
      <c r="H14" s="190"/>
    </row>
    <row r="15" spans="1:8" ht="15.75" customHeight="1">
      <c r="A15" s="190"/>
      <c r="B15" s="190" t="s">
        <v>243</v>
      </c>
      <c r="C15" s="436" t="str">
        <f>IF(ISBLANK(Initial_questions!E90), "No",Initial_questions!E90)</f>
        <v>No</v>
      </c>
      <c r="D15" s="190"/>
      <c r="E15" s="190"/>
      <c r="F15" s="190"/>
      <c r="G15" s="190"/>
      <c r="H15" s="190"/>
    </row>
    <row r="16" spans="1:8" ht="15.75" customHeight="1">
      <c r="A16" s="190"/>
      <c r="B16" s="190"/>
      <c r="C16" s="190"/>
      <c r="D16" s="190"/>
      <c r="E16" s="190"/>
      <c r="F16" s="190"/>
      <c r="G16" s="190"/>
      <c r="H16" s="190"/>
    </row>
    <row r="17" spans="1:8" ht="15.75" customHeight="1">
      <c r="A17" s="190"/>
      <c r="B17" s="190" t="s">
        <v>244</v>
      </c>
      <c r="C17" s="440" t="str">
        <f>IF(ISNUMBER(SEARCH("(TBC)", Path)), "Pathway not yet included under LCHS", IF(AND($C$5&lt;&gt;"No pathway selected",$C$7&lt;20,OR($C$11="Not applicable",$C$11="Yes"),$C$15="Yes", $C$6="Yes", OR($C$12="Not applicable", $C$12="Yes"),OR($C$14="Not applicable", $C$14="Yes"),$C$4="Yes"),"Yes","No"))</f>
        <v>No</v>
      </c>
      <c r="D17" s="572" t="str">
        <f>IF(ISNUMBER(SEARCH("(TBC)", Path)), "Please contact DESNZ for further guidance","")</f>
        <v/>
      </c>
      <c r="E17" s="190"/>
      <c r="F17" s="190"/>
      <c r="G17" s="190"/>
      <c r="H17" s="190"/>
    </row>
    <row r="18" spans="1:8">
      <c r="A18" s="190"/>
      <c r="B18" s="190"/>
      <c r="C18" s="190"/>
      <c r="D18" s="190"/>
      <c r="E18" s="190"/>
      <c r="F18" s="190"/>
      <c r="G18" s="190"/>
      <c r="H18" s="190"/>
    </row>
    <row r="19" spans="1:8">
      <c r="A19" s="190"/>
      <c r="B19" s="190"/>
      <c r="C19" s="190"/>
      <c r="D19" s="190"/>
      <c r="E19" s="190"/>
      <c r="F19" s="190"/>
      <c r="G19" s="190"/>
      <c r="H19" s="190"/>
    </row>
    <row r="20" spans="1:8">
      <c r="A20" s="190"/>
      <c r="C20" s="190"/>
      <c r="D20" s="190"/>
      <c r="E20" s="190"/>
      <c r="F20" s="190"/>
      <c r="G20" s="190"/>
      <c r="H20" s="190"/>
    </row>
    <row r="21" spans="1:8" ht="28.5">
      <c r="A21" s="190"/>
      <c r="B21" s="191" t="s">
        <v>245</v>
      </c>
      <c r="C21" s="190"/>
      <c r="D21" s="190"/>
      <c r="E21" s="190"/>
      <c r="F21" s="190"/>
      <c r="G21" s="190"/>
      <c r="H21" s="190"/>
    </row>
    <row r="22" spans="1:8" ht="31">
      <c r="A22" s="190"/>
      <c r="B22" s="325" t="s">
        <v>246</v>
      </c>
      <c r="C22" s="28" t="s">
        <v>247</v>
      </c>
      <c r="D22" s="330" t="s">
        <v>248</v>
      </c>
      <c r="E22" s="331" t="s">
        <v>249</v>
      </c>
      <c r="F22" s="190"/>
      <c r="G22" s="190"/>
      <c r="H22" s="190"/>
    </row>
    <row r="23" spans="1:8">
      <c r="A23" s="190"/>
      <c r="B23" s="326" t="str" cm="1">
        <f t="array" ref="B23">IF(Path=Units!$B$120,"Hydrogen from Wind/solar electricity",
IF(Path=Units!$B$121,"Hydrogen from Nuclear electricity",
IF(Path=Units!$B$122,"Hydrogen from Grid average electricity",
IF(Path=Units!$B$123,"Hydrogen from Stored electricity",
IF(Path=Units!$B$124,"Hydrogen from Other electricity source - please specify",
IF(Path=Units!$B$125,"Hydrogen from Wind/solar electricity",
IF(OR(Path=Units!$B$137:$B$138), "Hydrogen from the Biogenic fraction of mixed waste",
IF(Path=Units!$B$142, "No pathway selected", "Hydrogen from "&amp;Initial_questions!$E$27))))))))</f>
        <v>No pathway selected</v>
      </c>
      <c r="C23" s="329" t="s">
        <v>250</v>
      </c>
      <c r="D23" s="583" cm="1">
        <f t="array" ref="D23">IF(Path=Units!$B$125, IFERROR(Initial_questions!E34/SUM(Initial_questions!$E$34:$E$38), "Yet to complete"), IF(OR(Path=Units!$B$137:$B$138), Waste_Gasification_CCS!$E$106, IF(Path=Units!$B$130, "User to input", 100%)))</f>
        <v>1</v>
      </c>
      <c r="E23" s="551" t="str" cm="1">
        <f t="array" ref="E23">IF(Path=Units!B120,GHG_ELECTROLYSIS!M15,
IF(Path=Units!B121,GHG_ELECTROLYSIS!M32,
IF(Path=Units!B122,GHG_ELECTROLYSIS!M49,
IF(Path=Units!B123,GHG_ELECTROLYSIS!M66,
IF(Path=Units!B124,GHG_ELECTROLYSIS!M83,
IF(AND(Path=Units!B125,D23&gt;0%),GHG_ELECTROLYSIS!M15,
IF(AND(Path=Units!B125,D23=0%),"Input electricity source not chosen",
IF(OR(Path=Units!B126:B128),GHG_NG_REFORM_CCS!M16,
IF(OR(Path=Units!B130),GHG_ROG_REFORM_CCS!M18,
IF(Path=Units!B129,GHG_NG_SPLITTING!M18,
IF(OR(Path=Units!B131:B134),GHG_BIOMETHANE_REFORM!M18,
IF(OR(Path=Units!B135:B136),GHG_BIOMASS_GASIFICATION!M18,
IF(OR(Path=Units!B137:B138),GHG_WASTE_GASIFICATION!M18,
IF(Path=Units!B139,GHG_GENERIC_OTHER!M21,"No pathway selected"))))))))))))))</f>
        <v>No pathway selected</v>
      </c>
      <c r="F23" s="190"/>
      <c r="G23" s="190"/>
      <c r="H23" s="190"/>
    </row>
    <row r="24" spans="1:8">
      <c r="A24" s="190"/>
      <c r="B24" s="326" t="str" cm="1">
        <f t="array" ref="B24">IF(Path=Units!$B$125,"Hydrogen from Nuclear electricity", IF(OR(Path=Units!$B$137:$B$138), "Hydrogen from the Fossil fraction of mixed waste", IF(Path=Units!$B$130,"Hydrogen from Natural gas","Enter feedstock consignment 2 (if required)")))</f>
        <v>Enter feedstock consignment 2 (if required)</v>
      </c>
      <c r="C24" s="329" t="str" cm="1">
        <f t="array" ref="C24">IF(OR(Path=Units!$B$125, Path=Units!$B$137:$B$138),Units!$Y$120,IF(Path=Units!$B$130,Units!$Y$121,Units!$Y$122))</f>
        <v>Not required</v>
      </c>
      <c r="D24" s="583" cm="1">
        <f t="array" ref="D24">IF(Path=Units!$B$125, IFERROR(Initial_questions!E35/SUM(Initial_questions!$E$34:$E$38), "Yet to complete"), IF(OR(Path=Units!$B$137:$B$138), Waste_Gasification_CCS!$E$107, IF(Path=Units!$B$130, "User to input", 0%)))</f>
        <v>0</v>
      </c>
      <c r="E24" s="377" t="str" cm="1">
        <f t="array" ref="E24">IF(AND(Path=Units!B125,D24&gt;0%),GHG_ELECTROLYSIS!M32, IF(AND(Path=Units!B125,D24=0%),"Input electricity source not chosen",IF(OR(Path=Units!B137:B138),GHG_WASTE_GASIFICATION!M40, IF(C24=Units!$Y$121, "Enter result from other workbook", ""))))</f>
        <v/>
      </c>
      <c r="F24" s="190"/>
      <c r="G24" s="190"/>
      <c r="H24" s="190"/>
    </row>
    <row r="25" spans="1:8">
      <c r="A25" s="190"/>
      <c r="B25" s="326" t="str">
        <f>IF(Path=Units!$B$125,"Hydrogen from Grid average electricity",  "Enter feedstock consignment 3 (if required)")</f>
        <v>Enter feedstock consignment 3 (if required)</v>
      </c>
      <c r="C25" s="329" t="str">
        <f>IF(Path=Units!$B$125,Units!$Y$120,Units!$Y$122)</f>
        <v>Not required</v>
      </c>
      <c r="D25" s="328">
        <f>IF(Path=Units!$B$125, IFERROR(Initial_questions!E36/SUM(Initial_questions!$E$34:$E$38), "Yet to complete"), 0%)</f>
        <v>0</v>
      </c>
      <c r="E25" s="377" t="str">
        <f>IF(AND(Path=Units!B125,D25&gt;0%),GHG_ELECTROLYSIS!M49,  IF(AND(Path=Units!B125,D25=0%),"Input electricity source not chosen", IF(C25=Units!$Y$121, "Enter result from other workbook", "")))</f>
        <v/>
      </c>
      <c r="F25" s="190"/>
      <c r="G25" s="190"/>
      <c r="H25" s="190"/>
    </row>
    <row r="26" spans="1:8">
      <c r="A26" s="190"/>
      <c r="B26" s="326" t="str">
        <f>IF(Path=Units!$B$125,"Hydrogen from Stored electricity source - please specify",  "Enter feedstock consignment 4 (if required)")</f>
        <v>Enter feedstock consignment 4 (if required)</v>
      </c>
      <c r="C26" s="329" t="str">
        <f>IF(Path=Units!$B$125,Units!$Y$120,Units!$Y$122)</f>
        <v>Not required</v>
      </c>
      <c r="D26" s="328">
        <f>IF(Path=Units!$B$125, IFERROR(Initial_questions!E37/SUM(Initial_questions!$E$34:$E$38), "Yet to complete"), 0%)</f>
        <v>0</v>
      </c>
      <c r="E26" s="377" t="str">
        <f>IF(AND(Path=Units!B125,D26&gt;0%),GHG_ELECTROLYSIS!M66,  IF(AND(Path=Units!B125,D26=0%),"Input electricity source not chosen", IF(C26=Units!$Y$121, "Enter result from other workbook", "")))</f>
        <v/>
      </c>
      <c r="F26" s="190"/>
      <c r="G26" s="190"/>
      <c r="H26" s="190"/>
    </row>
    <row r="27" spans="1:8">
      <c r="A27" s="190"/>
      <c r="B27" s="326" t="str">
        <f>IF(Path=Units!$B$125,"Hydrogen from Other electricity source - please specify",  "Enter feedstock consignment 5 (if required)")</f>
        <v>Enter feedstock consignment 5 (if required)</v>
      </c>
      <c r="C27" s="329" t="str">
        <f>IF(Path=Units!$B$125,Units!$Y$120,Units!$Y$122)</f>
        <v>Not required</v>
      </c>
      <c r="D27" s="328">
        <f>IF(Path=Units!$B$125, IFERROR(Initial_questions!E38/SUM(Initial_questions!$E$34:$E$38), "Yet to complete"), 0%)</f>
        <v>0</v>
      </c>
      <c r="E27" s="377" t="str">
        <f>IF(AND(Path=Units!B125,D27&gt;0%),GHG_ELECTROLYSIS!M83,IF(AND(Path=Units!B125,D27=0%),"Input electricity source not chosen",IF(C27=Units!$Y$121,"Enter result from other workbook","")))</f>
        <v/>
      </c>
      <c r="F27" s="190"/>
      <c r="G27" s="190"/>
      <c r="H27" s="190"/>
    </row>
    <row r="28" spans="1:8">
      <c r="B28" s="326" t="s">
        <v>252</v>
      </c>
      <c r="C28" s="329" t="s">
        <v>251</v>
      </c>
      <c r="D28" s="328"/>
      <c r="E28" s="377"/>
      <c r="G28" s="190"/>
      <c r="H28" s="190"/>
    </row>
    <row r="29" spans="1:8">
      <c r="A29" s="190"/>
      <c r="B29" s="325" t="s">
        <v>253</v>
      </c>
      <c r="C29" s="353"/>
      <c r="D29" s="354"/>
      <c r="E29" s="418" t="str">
        <f>IF(ISBLANK(Path),"No pathway selected",IF(SUM(D23:D28)&lt;&gt;100%, "% sum is not 100%", SUMPRODUCT(D23:D28,E23:E28)))</f>
        <v>No pathway selected</v>
      </c>
      <c r="F29" s="190"/>
      <c r="G29" s="190"/>
      <c r="H29" s="190"/>
    </row>
    <row r="30" spans="1:8">
      <c r="A30" s="190"/>
      <c r="B30" s="190"/>
      <c r="C30" s="190"/>
      <c r="D30" s="190"/>
      <c r="E30" s="190"/>
      <c r="F30" s="190"/>
      <c r="G30" s="190"/>
      <c r="H30" s="190"/>
    </row>
    <row r="31" spans="1:8">
      <c r="A31" s="190"/>
      <c r="B31" s="190"/>
      <c r="C31" s="190"/>
      <c r="D31" s="190"/>
      <c r="E31" s="190"/>
      <c r="F31" s="190"/>
      <c r="G31" s="190"/>
      <c r="H31" s="190"/>
    </row>
    <row r="32" spans="1:8">
      <c r="A32" s="190"/>
      <c r="B32" s="190"/>
      <c r="C32" s="190"/>
      <c r="D32" s="190"/>
      <c r="E32" s="190"/>
      <c r="F32" s="190"/>
      <c r="G32" s="190"/>
      <c r="H32" s="190"/>
    </row>
    <row r="33" spans="1:8">
      <c r="A33" s="190"/>
      <c r="B33" s="190"/>
      <c r="C33" s="190"/>
      <c r="D33" s="190"/>
      <c r="E33" s="190"/>
      <c r="F33" s="190"/>
      <c r="G33" s="190"/>
      <c r="H33" s="190"/>
    </row>
    <row r="34" spans="1:8">
      <c r="A34" s="190"/>
      <c r="B34" s="190"/>
      <c r="C34" s="190"/>
      <c r="D34" s="190"/>
      <c r="E34" s="190"/>
      <c r="F34" s="190"/>
      <c r="G34" s="190"/>
      <c r="H34" s="190"/>
    </row>
    <row r="35" spans="1:8">
      <c r="A35" s="190"/>
      <c r="B35" s="190"/>
      <c r="C35" s="190"/>
      <c r="D35" s="190"/>
      <c r="E35" s="190"/>
      <c r="F35" s="190"/>
      <c r="G35" s="190"/>
      <c r="H35" s="190"/>
    </row>
    <row r="36" spans="1:8">
      <c r="A36" s="190"/>
      <c r="B36" s="190"/>
      <c r="C36" s="190"/>
      <c r="D36" s="190"/>
      <c r="E36" s="190"/>
      <c r="F36" s="190"/>
      <c r="G36" s="190"/>
      <c r="H36" s="190"/>
    </row>
    <row r="37" spans="1:8">
      <c r="A37" s="190"/>
      <c r="B37" s="190"/>
      <c r="C37" s="190"/>
      <c r="D37" s="190"/>
      <c r="E37" s="190"/>
      <c r="F37" s="190"/>
      <c r="G37" s="190"/>
      <c r="H37" s="190"/>
    </row>
    <row r="38" spans="1:8">
      <c r="A38" s="190"/>
      <c r="B38" s="190"/>
      <c r="C38" s="190"/>
      <c r="D38" s="190"/>
      <c r="E38" s="190"/>
      <c r="F38" s="190"/>
      <c r="G38" s="190"/>
      <c r="H38" s="190"/>
    </row>
    <row r="39" spans="1:8">
      <c r="A39" s="190"/>
      <c r="B39" s="190"/>
      <c r="C39" s="190"/>
      <c r="D39" s="190"/>
      <c r="E39" s="190"/>
      <c r="F39" s="190"/>
      <c r="G39" s="190"/>
      <c r="H39" s="190"/>
    </row>
    <row r="40" spans="1:8">
      <c r="A40" s="190"/>
      <c r="B40" s="190"/>
      <c r="C40" s="190"/>
      <c r="D40" s="190"/>
      <c r="E40" s="190"/>
      <c r="F40" s="190"/>
      <c r="G40" s="190"/>
      <c r="H40" s="190"/>
    </row>
    <row r="41" spans="1:8">
      <c r="A41" s="190"/>
      <c r="B41" s="190"/>
      <c r="C41" s="190"/>
      <c r="D41" s="190"/>
      <c r="E41" s="190"/>
      <c r="F41" s="190"/>
      <c r="G41" s="190"/>
      <c r="H41" s="190"/>
    </row>
  </sheetData>
  <customSheetViews>
    <customSheetView guid="{2D920366-22B2-4182-A65D-0EDBE614FB37}" showGridLines="0">
      <pageMargins left="0" right="0" top="0" bottom="0" header="0" footer="0"/>
      <pageSetup paperSize="9" orientation="portrait" horizontalDpi="90" verticalDpi="90" r:id="rId1"/>
    </customSheetView>
    <customSheetView guid="{F468A2FD-7987-4A9D-8BAE-1AACE523607F}" showGridLines="0">
      <selection activeCell="D1" sqref="D1"/>
      <pageMargins left="0" right="0" top="0" bottom="0" header="0" footer="0"/>
      <pageSetup paperSize="9" orientation="portrait" horizontalDpi="90" verticalDpi="90" r:id="rId2"/>
    </customSheetView>
    <customSheetView guid="{D97B1299-69D0-4EE0-B673-CCF74742F96B}">
      <selection activeCell="D2" sqref="D2"/>
      <pageMargins left="0" right="0" top="0" bottom="0" header="0" footer="0"/>
      <pageSetup paperSize="9" orientation="portrait" horizontalDpi="90" verticalDpi="90" r:id="rId3"/>
    </customSheetView>
    <customSheetView guid="{3F0A4FBA-5323-448F-A023-B3E14C54064C}" showGridLines="0">
      <selection activeCell="D2" sqref="D2"/>
      <pageMargins left="0" right="0" top="0" bottom="0" header="0" footer="0"/>
      <pageSetup paperSize="9" orientation="portrait" horizontalDpi="90" verticalDpi="90" r:id="rId4"/>
    </customSheetView>
    <customSheetView guid="{E6EFD927-84B2-4D06-BB59-59D9DF522DA2}" showGridLines="0">
      <selection activeCell="D1" sqref="D1"/>
      <pageMargins left="0" right="0" top="0" bottom="0" header="0" footer="0"/>
      <pageSetup paperSize="9" orientation="portrait" horizontalDpi="90" verticalDpi="90" r:id="rId5"/>
    </customSheetView>
    <customSheetView guid="{0E935136-9A80-44B6-88D5-61E64D742049}" showGridLines="0">
      <selection activeCell="D1" sqref="D1"/>
      <pageMargins left="0" right="0" top="0" bottom="0" header="0" footer="0"/>
      <pageSetup paperSize="9" orientation="portrait" horizontalDpi="90" verticalDpi="90" r:id="rId6"/>
    </customSheetView>
    <customSheetView guid="{1C16EB38-F785-4168-9938-104594734038}" showGridLines="0">
      <selection activeCell="D1" sqref="D1"/>
      <pageMargins left="0" right="0" top="0" bottom="0" header="0" footer="0"/>
      <pageSetup paperSize="9" orientation="portrait" horizontalDpi="90" verticalDpi="90" r:id="rId7"/>
    </customSheetView>
    <customSheetView guid="{EECBF9DF-6D77-4263-85DA-71E40216BADD}" showGridLines="0">
      <selection activeCell="D1" sqref="D1"/>
      <pageMargins left="0" right="0" top="0" bottom="0" header="0" footer="0"/>
      <pageSetup paperSize="9" orientation="portrait" horizontalDpi="90" verticalDpi="90" r:id="rId8"/>
    </customSheetView>
    <customSheetView guid="{F03309BC-D3FA-4CF2-833B-D6D9A95FE1FB}" showGridLines="0">
      <selection activeCell="D2" sqref="D2"/>
      <pageMargins left="0" right="0" top="0" bottom="0" header="0" footer="0"/>
      <pageSetup paperSize="9" orientation="portrait" horizontalDpi="90" verticalDpi="90" r:id="rId9"/>
    </customSheetView>
  </customSheetViews>
  <phoneticPr fontId="90" type="noConversion"/>
  <dataValidations count="4">
    <dataValidation type="list" allowBlank="1" showInputMessage="1" showErrorMessage="1" sqref="C23:C28" xr:uid="{2460ED2E-F8A5-4555-AC0F-D7E5B2793D29}">
      <formula1>Within_workbook</formula1>
    </dataValidation>
    <dataValidation type="custom" allowBlank="1" showInputMessage="1" showErrorMessage="1" error="Please do not change" sqref="C16 B4:B7 B15:B17 B10:B12 B13:B14" xr:uid="{22F2D300-634E-4708-BA92-0D92B4605FF2}">
      <formula1>"Please do not change"</formula1>
    </dataValidation>
    <dataValidation type="custom" allowBlank="1" showInputMessage="1" showErrorMessage="1" error="Please do not change this formula" prompt="Please do not change this formula" sqref="C10 C4:C8 C15 C11 C13:C14" xr:uid="{41098B2A-E04B-4980-978D-9986F4EB26FC}">
      <formula1>"Please do not change this formula"</formula1>
    </dataValidation>
    <dataValidation type="custom" allowBlank="1" showInputMessage="1" showErrorMessage="1" error="Please do not change" prompt="Please do not change" sqref="D13:D14 D7" xr:uid="{48B26D5E-0C6E-4339-A8A5-F40EF69C8D17}">
      <formula1>"Please do not change"</formula1>
    </dataValidation>
  </dataValidations>
  <pageMargins left="0" right="0" top="0" bottom="0" header="0" footer="0"/>
  <pageSetup paperSize="9" orientation="portrait" horizontalDpi="90" verticalDpi="90" r:id="rId10"/>
  <drawing r:id="rId1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2c180e91-cdbb-4f8d-816b-a8a10b4b6723">
      <UserInfo>
        <DisplayName>E4Tech-Document Co-Authoring Centre Visitors</DisplayName>
        <AccountId>4</AccountId>
        <AccountType/>
      </UserInfo>
      <UserInfo>
        <DisplayName>E4tech consulting</DisplayName>
        <AccountId>69</AccountId>
        <AccountType/>
      </UserInfo>
    </SharedWithUsers>
    <TaxCatchAll xmlns="6efd9bda-5fdd-49f3-9692-c2f57a8f124d" xsi:nil="true"/>
    <lcf76f155ced4ddcb4097134ff3c332f xmlns="8f9f480b-59e1-45bd-9ebc-650d595eb90c">
      <Terms xmlns="http://schemas.microsoft.com/office/infopath/2007/PartnerControls"/>
    </lcf76f155ced4ddcb4097134ff3c332f>
    <Comment xmlns="8f9f480b-59e1-45bd-9ebc-650d595eb90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8E6E46612BE784DA3E8FC681CD2E93E" ma:contentTypeVersion="42" ma:contentTypeDescription="Create a new document." ma:contentTypeScope="" ma:versionID="a90297d5affa24da2d90c45eb86a7346">
  <xsd:schema xmlns:xsd="http://www.w3.org/2001/XMLSchema" xmlns:xs="http://www.w3.org/2001/XMLSchema" xmlns:p="http://schemas.microsoft.com/office/2006/metadata/properties" xmlns:ns2="8f9f480b-59e1-45bd-9ebc-650d595eb90c" xmlns:ns3="2c180e91-cdbb-4f8d-816b-a8a10b4b6723" xmlns:ns4="6efd9bda-5fdd-49f3-9692-c2f57a8f124d" targetNamespace="http://schemas.microsoft.com/office/2006/metadata/properties" ma:root="true" ma:fieldsID="4f7b35299ad6465e6db824b6bae1af78" ns2:_="" ns3:_="" ns4:_="">
    <xsd:import namespace="8f9f480b-59e1-45bd-9ebc-650d595eb90c"/>
    <xsd:import namespace="2c180e91-cdbb-4f8d-816b-a8a10b4b6723"/>
    <xsd:import namespace="6efd9bda-5fdd-49f3-9692-c2f57a8f124d"/>
    <xsd:element name="properties">
      <xsd:complexType>
        <xsd:sequence>
          <xsd:element name="documentManagement">
            <xsd:complexType>
              <xsd:all>
                <xsd:element ref="ns2:Comment" minOccurs="0"/>
                <xsd:element ref="ns2:MediaLengthInSeconds" minOccurs="0"/>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9f480b-59e1-45bd-9ebc-650d595eb90c" elementFormDefault="qualified">
    <xsd:import namespace="http://schemas.microsoft.com/office/2006/documentManagement/types"/>
    <xsd:import namespace="http://schemas.microsoft.com/office/infopath/2007/PartnerControls"/>
    <xsd:element name="Comment" ma:index="2" nillable="true" ma:displayName="Comment" ma:internalName="Comment" ma:readOnly="false">
      <xsd:simpleType>
        <xsd:restriction base="dms:Text">
          <xsd:maxLength value="255"/>
        </xsd:restriction>
      </xsd:simpleType>
    </xsd:element>
    <xsd:element name="MediaLengthInSeconds" ma:index="3" nillable="true" ma:displayName="MediaLengthInSeconds" ma:description="" ma:internalName="MediaLengthInSeconds" ma:readOnly="true">
      <xsd:simpleType>
        <xsd:restriction base="dms:Unknown"/>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7cf98923-f688-424c-b29d-669cd348134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c180e91-cdbb-4f8d-816b-a8a10b4b6723" elementFormDefault="qualified">
    <xsd:import namespace="http://schemas.microsoft.com/office/2006/documentManagement/types"/>
    <xsd:import namespace="http://schemas.microsoft.com/office/infopath/2007/PartnerControls"/>
    <xsd:element name="SharedWithUsers" ma:index="20"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efd9bda-5fdd-49f3-9692-c2f57a8f124d"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5aa3582d-0a69-4577-8e87-a574130e0171}" ma:internalName="TaxCatchAll" ma:showField="CatchAllData" ma:web="2c180e91-cdbb-4f8d-816b-a8a10b4b672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F430AE4-1BB4-432E-8FFD-9620639F63EF}">
  <ds:schemaRefs>
    <ds:schemaRef ds:uri="http://schemas.openxmlformats.org/package/2006/metadata/core-properties"/>
    <ds:schemaRef ds:uri="6efd9bda-5fdd-49f3-9692-c2f57a8f124d"/>
    <ds:schemaRef ds:uri="http://schemas.microsoft.com/office/2006/metadata/properties"/>
    <ds:schemaRef ds:uri="http://purl.org/dc/terms/"/>
    <ds:schemaRef ds:uri="http://purl.org/dc/elements/1.1/"/>
    <ds:schemaRef ds:uri="http://purl.org/dc/dcmitype/"/>
    <ds:schemaRef ds:uri="http://schemas.microsoft.com/office/2006/documentManagement/types"/>
    <ds:schemaRef ds:uri="2c180e91-cdbb-4f8d-816b-a8a10b4b6723"/>
    <ds:schemaRef ds:uri="http://schemas.microsoft.com/office/infopath/2007/PartnerControls"/>
    <ds:schemaRef ds:uri="8f9f480b-59e1-45bd-9ebc-650d595eb90c"/>
    <ds:schemaRef ds:uri="http://www.w3.org/XML/1998/namespace"/>
  </ds:schemaRefs>
</ds:datastoreItem>
</file>

<file path=customXml/itemProps2.xml><?xml version="1.0" encoding="utf-8"?>
<ds:datastoreItem xmlns:ds="http://schemas.openxmlformats.org/officeDocument/2006/customXml" ds:itemID="{9E7ECBB3-2596-4F0C-A0D5-52929F551A37}">
  <ds:schemaRefs>
    <ds:schemaRef ds:uri="http://schemas.microsoft.com/sharepoint/v3/contenttype/forms"/>
  </ds:schemaRefs>
</ds:datastoreItem>
</file>

<file path=customXml/itemProps3.xml><?xml version="1.0" encoding="utf-8"?>
<ds:datastoreItem xmlns:ds="http://schemas.openxmlformats.org/officeDocument/2006/customXml" ds:itemID="{117B0CA8-D8D9-4BE3-95ED-594E9E0D4E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9f480b-59e1-45bd-9ebc-650d595eb90c"/>
    <ds:schemaRef ds:uri="2c180e91-cdbb-4f8d-816b-a8a10b4b6723"/>
    <ds:schemaRef ds:uri="6efd9bda-5fdd-49f3-9692-c2f57a8f12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41</vt:i4>
      </vt:variant>
    </vt:vector>
  </HeadingPairs>
  <TitlesOfParts>
    <vt:vector size="104" baseType="lpstr">
      <vt:lpstr>Title</vt:lpstr>
      <vt:lpstr>Navigation</vt:lpstr>
      <vt:lpstr>Guidance Initial_questions</vt:lpstr>
      <vt:lpstr>Guidance Processing</vt:lpstr>
      <vt:lpstr>Guidance Feedstock dLUC</vt:lpstr>
      <vt:lpstr>Guidance Summary GHG</vt:lpstr>
      <vt:lpstr>Initial_questions</vt:lpstr>
      <vt:lpstr>System_Boundary</vt:lpstr>
      <vt:lpstr>Dashboard</vt:lpstr>
      <vt:lpstr>Units</vt:lpstr>
      <vt:lpstr>Default data</vt:lpstr>
      <vt:lpstr>Typical data</vt:lpstr>
      <vt:lpstr>Non Typical data</vt:lpstr>
      <vt:lpstr>GHG_ELECTROLYSIS</vt:lpstr>
      <vt:lpstr>GHG_NG_REFORM_CCS</vt:lpstr>
      <vt:lpstr>GHG_ROG_REFORM_CCS</vt:lpstr>
      <vt:lpstr>GHG_NG_SPLITTING</vt:lpstr>
      <vt:lpstr>GHG_BIOMETHANE_REFORM</vt:lpstr>
      <vt:lpstr>GHG_BIOMASS_GASIFICATION</vt:lpstr>
      <vt:lpstr>GHG_WASTE_GASIFICATION</vt:lpstr>
      <vt:lpstr>GHG_GENERIC_OTHER</vt:lpstr>
      <vt:lpstr>Electrolysis</vt:lpstr>
      <vt:lpstr>NG_Collection</vt:lpstr>
      <vt:lpstr>NG_Transport</vt:lpstr>
      <vt:lpstr>NG_Processing</vt:lpstr>
      <vt:lpstr>NG_Further_Transport</vt:lpstr>
      <vt:lpstr>NG_Reforming_CCS</vt:lpstr>
      <vt:lpstr>NG_Splitting_SolidCarbon</vt:lpstr>
      <vt:lpstr>ROG_Counterfactual</vt:lpstr>
      <vt:lpstr>Crude_Collection</vt:lpstr>
      <vt:lpstr>Crude_Transport</vt:lpstr>
      <vt:lpstr>Crude_Refine</vt:lpstr>
      <vt:lpstr>ROG_Processing</vt:lpstr>
      <vt:lpstr>ROG_Transport</vt:lpstr>
      <vt:lpstr>ROG_Reforming_CCS</vt:lpstr>
      <vt:lpstr>Biogas_Feedstock_Cultivation</vt:lpstr>
      <vt:lpstr>Biogas_Feedstock_Harvesting</vt:lpstr>
      <vt:lpstr>Biogas_Feedstock_Collection</vt:lpstr>
      <vt:lpstr>Biogas_Feedstock_Transport</vt:lpstr>
      <vt:lpstr>Biogas+Biomethane_Upgrading</vt:lpstr>
      <vt:lpstr>Biomethane_Transport</vt:lpstr>
      <vt:lpstr>Biomethane_Reforming_CCS</vt:lpstr>
      <vt:lpstr>Biomass_Cultivation</vt:lpstr>
      <vt:lpstr>Biomass_Harvesting</vt:lpstr>
      <vt:lpstr>Biomass_Collection</vt:lpstr>
      <vt:lpstr>Biomass_Transport</vt:lpstr>
      <vt:lpstr>Biomass_Pre-Processing</vt:lpstr>
      <vt:lpstr>Biomass_Further_Transport</vt:lpstr>
      <vt:lpstr>Biomass_Gasification_CCS</vt:lpstr>
      <vt:lpstr>Waste_Fossil_Counterfactual</vt:lpstr>
      <vt:lpstr>Waste_Collection</vt:lpstr>
      <vt:lpstr>Waste_Transport</vt:lpstr>
      <vt:lpstr>Waste_Pre-Processing</vt:lpstr>
      <vt:lpstr>Waste_Further_Transport</vt:lpstr>
      <vt:lpstr>Waste_Gasification_CCS</vt:lpstr>
      <vt:lpstr>Generic_Fossil_Counterfactual</vt:lpstr>
      <vt:lpstr>Generic_Feedstock_Cultivation</vt:lpstr>
      <vt:lpstr>Generic_Feedstock_Harvesting</vt:lpstr>
      <vt:lpstr>Generic_Feedstock_Collection</vt:lpstr>
      <vt:lpstr>Generic_Feedstock_Transport</vt:lpstr>
      <vt:lpstr>Generic_Pre-Processing</vt:lpstr>
      <vt:lpstr>Generic_Further_Transport</vt:lpstr>
      <vt:lpstr>Generic_Conversion</vt:lpstr>
      <vt:lpstr>AllData</vt:lpstr>
      <vt:lpstr>bbl_to_USgal</vt:lpstr>
      <vt:lpstr>Bio</vt:lpstr>
      <vt:lpstr>Biomethane</vt:lpstr>
      <vt:lpstr>Capture</vt:lpstr>
      <vt:lpstr>Case</vt:lpstr>
      <vt:lpstr>Conversion_kWh_to_MJ</vt:lpstr>
      <vt:lpstr>Credit</vt:lpstr>
      <vt:lpstr>Data</vt:lpstr>
      <vt:lpstr>Def</vt:lpstr>
      <vt:lpstr>Elec</vt:lpstr>
      <vt:lpstr>EnergySupplyData</vt:lpstr>
      <vt:lpstr>Feedstock</vt:lpstr>
      <vt:lpstr>FeedstockSupplyData</vt:lpstr>
      <vt:lpstr>Flow_units</vt:lpstr>
      <vt:lpstr>Fossil</vt:lpstr>
      <vt:lpstr>Gas</vt:lpstr>
      <vt:lpstr>Hydrogen_flow</vt:lpstr>
      <vt:lpstr>iLUC</vt:lpstr>
      <vt:lpstr>InputMaterialsData</vt:lpstr>
      <vt:lpstr>Location</vt:lpstr>
      <vt:lpstr>Master_Switch</vt:lpstr>
      <vt:lpstr>Offset</vt:lpstr>
      <vt:lpstr>Operations_year</vt:lpstr>
      <vt:lpstr>Output_pressure</vt:lpstr>
      <vt:lpstr>Output_purity</vt:lpstr>
      <vt:lpstr>Output_temperature</vt:lpstr>
      <vt:lpstr>Path</vt:lpstr>
      <vt:lpstr>Pathway_list</vt:lpstr>
      <vt:lpstr>Proj</vt:lpstr>
      <vt:lpstr>Proj_grid_intensity_kWh</vt:lpstr>
      <vt:lpstr>Proj_grid_year</vt:lpstr>
      <vt:lpstr>Proj_or_def</vt:lpstr>
      <vt:lpstr>Proj_or_mix</vt:lpstr>
      <vt:lpstr>Risk</vt:lpstr>
      <vt:lpstr>SolidCarbon</vt:lpstr>
      <vt:lpstr>Status</vt:lpstr>
      <vt:lpstr>Sustainability</vt:lpstr>
      <vt:lpstr>Switch</vt:lpstr>
      <vt:lpstr>Within_workbook</vt:lpstr>
      <vt:lpstr>Years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Richard Taylor</dc:creator>
  <cp:keywords/>
  <dc:description/>
  <cp:lastModifiedBy>Ellie Raphael</cp:lastModifiedBy>
  <cp:revision/>
  <dcterms:created xsi:type="dcterms:W3CDTF">2012-01-05T14:11:32Z</dcterms:created>
  <dcterms:modified xsi:type="dcterms:W3CDTF">2024-03-12T15:57:15Z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0x010100E8E6E46612BE784DA3E8FC681CD2E93E</vt:lpwstr>
  </property>
  <property fmtid="{D5CDD505-2E9C-101B-9397-08002B2CF9AE}" pid="3" name="URL">
    <vt:lpwstr/>
  </property>
  <property fmtid="{D5CDD505-2E9C-101B-9397-08002B2CF9AE}" pid="4" name="_ExtendedDescription">
    <vt:lpwstr/>
  </property>
  <property fmtid="{D5CDD505-2E9C-101B-9397-08002B2CF9AE}" pid="5" name="MediaServiceImageTags">
    <vt:lpwstr/>
  </property>
  <property fmtid="{D5CDD505-2E9C-101B-9397-08002B2CF9AE}" pid="6" name="Business Unit">
    <vt:lpwstr>1;#BEIS:Energy, Transformation and Clean Growth:Industrial Energy|196d2126-cc91-40b4-bd0b-d2f757bf15bb</vt:lpwstr>
  </property>
  <property fmtid="{D5CDD505-2E9C-101B-9397-08002B2CF9AE}" pid="7" name="_dlc_DocIdItemGuid">
    <vt:lpwstr>847de808-362d-46cd-a2fa-0dab96c3c515</vt:lpwstr>
  </property>
</Properties>
</file>